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2515" windowHeight="1056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S7" i="1"/>
  <c r="C10"/>
  <c r="Y7"/>
  <c r="X7" s="1"/>
  <c r="X6"/>
  <c r="T6" s="1"/>
  <c r="W6"/>
  <c r="W7" s="1"/>
  <c r="V7"/>
  <c r="V8" s="1"/>
  <c r="V9" s="1"/>
  <c r="V10" s="1"/>
  <c r="V11" s="1"/>
  <c r="V12" s="1"/>
  <c r="V13" s="1"/>
  <c r="V14" s="1"/>
  <c r="V15" s="1"/>
  <c r="V16" s="1"/>
  <c r="V17" s="1"/>
  <c r="V18" s="1"/>
  <c r="V19" s="1"/>
  <c r="V20" s="1"/>
  <c r="V21" s="1"/>
  <c r="V22" s="1"/>
  <c r="V23" s="1"/>
  <c r="V24" s="1"/>
  <c r="V25" s="1"/>
  <c r="V26" s="1"/>
  <c r="V27" s="1"/>
  <c r="V28" s="1"/>
  <c r="V29" s="1"/>
  <c r="V30" s="1"/>
  <c r="V31" s="1"/>
  <c r="V32" s="1"/>
  <c r="V33" s="1"/>
  <c r="V34" s="1"/>
  <c r="J6"/>
  <c r="F6"/>
  <c r="F7" s="1"/>
  <c r="F8" s="1"/>
  <c r="F9" s="1"/>
  <c r="F10" s="1"/>
  <c r="F11" s="1"/>
  <c r="F12" s="1"/>
  <c r="F13" s="1"/>
  <c r="F14" s="1"/>
  <c r="F15" s="1"/>
  <c r="A25"/>
  <c r="C14"/>
  <c r="C15"/>
  <c r="C16"/>
  <c r="C18" s="1"/>
  <c r="C12"/>
  <c r="S8" l="1"/>
  <c r="S9" s="1"/>
  <c r="S10" s="1"/>
  <c r="S11" s="1"/>
  <c r="S12" s="1"/>
  <c r="S13" s="1"/>
  <c r="S14" s="1"/>
  <c r="S15" s="1"/>
  <c r="S16" s="1"/>
  <c r="S17" s="1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T7"/>
  <c r="F16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Y8"/>
  <c r="Y9" s="1"/>
  <c r="Y10" s="1"/>
  <c r="J7"/>
  <c r="J8" s="1"/>
  <c r="J9" s="1"/>
  <c r="J10" s="1"/>
  <c r="J11" s="1"/>
  <c r="J12" s="1"/>
  <c r="J13" s="1"/>
  <c r="J14" s="1"/>
  <c r="J15" s="1"/>
  <c r="C17"/>
  <c r="C5"/>
  <c r="C6"/>
  <c r="C4"/>
  <c r="C9"/>
  <c r="C2"/>
  <c r="G6"/>
  <c r="P6"/>
  <c r="U6" s="1"/>
  <c r="J16" l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E6"/>
  <c r="W8"/>
  <c r="X9"/>
  <c r="X8"/>
  <c r="T8" s="1"/>
  <c r="Y11"/>
  <c r="X10"/>
  <c r="C21"/>
  <c r="P7"/>
  <c r="U7" s="1"/>
  <c r="Q6"/>
  <c r="H6"/>
  <c r="N6"/>
  <c r="O6" s="1"/>
  <c r="R6"/>
  <c r="I6" l="1"/>
  <c r="L6" s="1"/>
  <c r="M6" s="1"/>
  <c r="W9"/>
  <c r="T9"/>
  <c r="Y12"/>
  <c r="X11"/>
  <c r="T10"/>
  <c r="N7"/>
  <c r="O7" s="1"/>
  <c r="P8"/>
  <c r="U8" s="1"/>
  <c r="Q7"/>
  <c r="G7"/>
  <c r="E7" l="1"/>
  <c r="I7" s="1"/>
  <c r="W10"/>
  <c r="K6"/>
  <c r="Z6" s="1"/>
  <c r="Y13"/>
  <c r="X12"/>
  <c r="T11"/>
  <c r="N8"/>
  <c r="O8" s="1"/>
  <c r="P9"/>
  <c r="U9" s="1"/>
  <c r="Q8"/>
  <c r="C13"/>
  <c r="C25"/>
  <c r="C11" s="1"/>
  <c r="H7"/>
  <c r="G8"/>
  <c r="R7"/>
  <c r="E8" l="1"/>
  <c r="I8" s="1"/>
  <c r="K7"/>
  <c r="W11"/>
  <c r="Y14"/>
  <c r="X13"/>
  <c r="T12"/>
  <c r="N9"/>
  <c r="O9" s="1"/>
  <c r="C19"/>
  <c r="C22"/>
  <c r="C24" s="1"/>
  <c r="P10"/>
  <c r="U10" s="1"/>
  <c r="Q9"/>
  <c r="R8"/>
  <c r="C20"/>
  <c r="H8"/>
  <c r="G9"/>
  <c r="Z7" l="1"/>
  <c r="L7"/>
  <c r="M7" s="1"/>
  <c r="E9"/>
  <c r="I9" s="1"/>
  <c r="W12"/>
  <c r="K8"/>
  <c r="Y15"/>
  <c r="X14"/>
  <c r="T13"/>
  <c r="N10"/>
  <c r="O10" s="1"/>
  <c r="P11"/>
  <c r="U11" s="1"/>
  <c r="Q10"/>
  <c r="H9"/>
  <c r="R9"/>
  <c r="G10"/>
  <c r="Z8" l="1"/>
  <c r="L8"/>
  <c r="M8" s="1"/>
  <c r="E10"/>
  <c r="I10" s="1"/>
  <c r="K9"/>
  <c r="W13"/>
  <c r="Y16"/>
  <c r="X15"/>
  <c r="T14"/>
  <c r="N11"/>
  <c r="O11" s="1"/>
  <c r="P12"/>
  <c r="U12" s="1"/>
  <c r="Q11"/>
  <c r="H10"/>
  <c r="R10"/>
  <c r="G11"/>
  <c r="Z9" l="1"/>
  <c r="L9"/>
  <c r="M9" s="1"/>
  <c r="E11"/>
  <c r="I11" s="1"/>
  <c r="W14"/>
  <c r="K10"/>
  <c r="Y17"/>
  <c r="X16"/>
  <c r="T15"/>
  <c r="N12"/>
  <c r="O12" s="1"/>
  <c r="P13"/>
  <c r="U13" s="1"/>
  <c r="Q12"/>
  <c r="H11"/>
  <c r="R11"/>
  <c r="G12"/>
  <c r="Z10" l="1"/>
  <c r="L10"/>
  <c r="M10" s="1"/>
  <c r="E12"/>
  <c r="I12" s="1"/>
  <c r="K11"/>
  <c r="W15"/>
  <c r="Y18"/>
  <c r="X17"/>
  <c r="N13"/>
  <c r="O13" s="1"/>
  <c r="P14"/>
  <c r="U14" s="1"/>
  <c r="Q13"/>
  <c r="H12"/>
  <c r="R12"/>
  <c r="G13"/>
  <c r="Z11" l="1"/>
  <c r="L11"/>
  <c r="M11" s="1"/>
  <c r="E13"/>
  <c r="I13" s="1"/>
  <c r="K12"/>
  <c r="W16"/>
  <c r="T16"/>
  <c r="Y19"/>
  <c r="X18"/>
  <c r="Q14"/>
  <c r="P15"/>
  <c r="U15" s="1"/>
  <c r="N14"/>
  <c r="O14" s="1"/>
  <c r="H13"/>
  <c r="R13"/>
  <c r="G14"/>
  <c r="Z12" l="1"/>
  <c r="L12"/>
  <c r="M12" s="1"/>
  <c r="E14"/>
  <c r="I14" s="1"/>
  <c r="K13"/>
  <c r="W17"/>
  <c r="T17"/>
  <c r="Y20"/>
  <c r="X19"/>
  <c r="G15"/>
  <c r="Q15"/>
  <c r="P16"/>
  <c r="U16" s="1"/>
  <c r="N15"/>
  <c r="O15" s="1"/>
  <c r="R14"/>
  <c r="H14"/>
  <c r="Z13" l="1"/>
  <c r="L13"/>
  <c r="M13" s="1"/>
  <c r="G16"/>
  <c r="E15"/>
  <c r="I15" s="1"/>
  <c r="K15" s="1"/>
  <c r="K14"/>
  <c r="W18"/>
  <c r="T18"/>
  <c r="Y21"/>
  <c r="X20"/>
  <c r="R15"/>
  <c r="H15"/>
  <c r="Q16"/>
  <c r="P17"/>
  <c r="U17" s="1"/>
  <c r="N16"/>
  <c r="O16" s="1"/>
  <c r="Z14" l="1"/>
  <c r="L14"/>
  <c r="M14" s="1"/>
  <c r="Z15"/>
  <c r="L15"/>
  <c r="G17"/>
  <c r="E16"/>
  <c r="I16" s="1"/>
  <c r="H16"/>
  <c r="W19"/>
  <c r="T19"/>
  <c r="Y22"/>
  <c r="X21"/>
  <c r="R16"/>
  <c r="Q17"/>
  <c r="P18"/>
  <c r="U18" s="1"/>
  <c r="N17"/>
  <c r="O17" s="1"/>
  <c r="M15" l="1"/>
  <c r="G18"/>
  <c r="E17"/>
  <c r="I17" s="1"/>
  <c r="H17"/>
  <c r="K16"/>
  <c r="W20"/>
  <c r="T20"/>
  <c r="Y23"/>
  <c r="X22"/>
  <c r="R17"/>
  <c r="Q18"/>
  <c r="P19"/>
  <c r="U19" s="1"/>
  <c r="N18"/>
  <c r="O18" s="1"/>
  <c r="Z16" l="1"/>
  <c r="L16"/>
  <c r="M16" s="1"/>
  <c r="G19"/>
  <c r="E18"/>
  <c r="I18" s="1"/>
  <c r="K17"/>
  <c r="W21"/>
  <c r="T21"/>
  <c r="Y24"/>
  <c r="X23"/>
  <c r="T22"/>
  <c r="Q19"/>
  <c r="P20"/>
  <c r="U20" s="1"/>
  <c r="N19"/>
  <c r="O19" s="1"/>
  <c r="R18"/>
  <c r="H18"/>
  <c r="Z17" l="1"/>
  <c r="L17"/>
  <c r="M17" s="1"/>
  <c r="G20"/>
  <c r="E19"/>
  <c r="I19" s="1"/>
  <c r="W22"/>
  <c r="K18"/>
  <c r="Y25"/>
  <c r="X24"/>
  <c r="Q20"/>
  <c r="P21"/>
  <c r="U21" s="1"/>
  <c r="N20"/>
  <c r="O20" s="1"/>
  <c r="R19"/>
  <c r="H19"/>
  <c r="Z18" l="1"/>
  <c r="L18"/>
  <c r="M18" s="1"/>
  <c r="G21"/>
  <c r="E20"/>
  <c r="I20" s="1"/>
  <c r="K19"/>
  <c r="W23"/>
  <c r="T23"/>
  <c r="Y26"/>
  <c r="X25"/>
  <c r="Q21"/>
  <c r="P22"/>
  <c r="U22" s="1"/>
  <c r="N21"/>
  <c r="O21" s="1"/>
  <c r="R20"/>
  <c r="H20"/>
  <c r="Z19" l="1"/>
  <c r="L19"/>
  <c r="M19" s="1"/>
  <c r="G22"/>
  <c r="E21"/>
  <c r="I21" s="1"/>
  <c r="K20"/>
  <c r="W24"/>
  <c r="T24"/>
  <c r="Y27"/>
  <c r="X26"/>
  <c r="Q22"/>
  <c r="P23"/>
  <c r="U23" s="1"/>
  <c r="H21"/>
  <c r="R21"/>
  <c r="N22"/>
  <c r="O22" s="1"/>
  <c r="Z20" l="1"/>
  <c r="L20"/>
  <c r="M20" s="1"/>
  <c r="G23"/>
  <c r="E22"/>
  <c r="I22" s="1"/>
  <c r="K21"/>
  <c r="W25"/>
  <c r="T25"/>
  <c r="Y28"/>
  <c r="X27"/>
  <c r="T26"/>
  <c r="Q23"/>
  <c r="P24"/>
  <c r="U24" s="1"/>
  <c r="N23"/>
  <c r="O23" s="1"/>
  <c r="H22"/>
  <c r="R22"/>
  <c r="Z21" l="1"/>
  <c r="L21"/>
  <c r="M21" s="1"/>
  <c r="G24"/>
  <c r="E23"/>
  <c r="I23" s="1"/>
  <c r="W26"/>
  <c r="K22"/>
  <c r="Y29"/>
  <c r="X28"/>
  <c r="T27"/>
  <c r="N24"/>
  <c r="O24" s="1"/>
  <c r="Q24"/>
  <c r="P25"/>
  <c r="U25" s="1"/>
  <c r="R23"/>
  <c r="H23"/>
  <c r="Z22" l="1"/>
  <c r="L22"/>
  <c r="M22" s="1"/>
  <c r="G25"/>
  <c r="H25" s="1"/>
  <c r="E24"/>
  <c r="I24" s="1"/>
  <c r="W27"/>
  <c r="K23"/>
  <c r="Y30"/>
  <c r="X29"/>
  <c r="T28"/>
  <c r="N25"/>
  <c r="O25" s="1"/>
  <c r="Q25"/>
  <c r="P26"/>
  <c r="U26" s="1"/>
  <c r="R24"/>
  <c r="H24"/>
  <c r="Z23" l="1"/>
  <c r="L23"/>
  <c r="M23" s="1"/>
  <c r="G26"/>
  <c r="E25"/>
  <c r="I25" s="1"/>
  <c r="W28"/>
  <c r="K24"/>
  <c r="Y31"/>
  <c r="X30"/>
  <c r="R25"/>
  <c r="N26"/>
  <c r="O26" s="1"/>
  <c r="Q26"/>
  <c r="P27"/>
  <c r="U27" s="1"/>
  <c r="Z24" l="1"/>
  <c r="L24"/>
  <c r="M24" s="1"/>
  <c r="G27"/>
  <c r="R27" s="1"/>
  <c r="E26"/>
  <c r="I26" s="1"/>
  <c r="H26"/>
  <c r="K25"/>
  <c r="W29"/>
  <c r="T29"/>
  <c r="Y32"/>
  <c r="X31"/>
  <c r="R26"/>
  <c r="N27"/>
  <c r="O27" s="1"/>
  <c r="P28"/>
  <c r="U28" s="1"/>
  <c r="Q27"/>
  <c r="Z25" l="1"/>
  <c r="L25"/>
  <c r="M25" s="1"/>
  <c r="G28"/>
  <c r="R28" s="1"/>
  <c r="E27"/>
  <c r="I27" s="1"/>
  <c r="K26"/>
  <c r="W30"/>
  <c r="T30"/>
  <c r="Y33"/>
  <c r="X32"/>
  <c r="H27"/>
  <c r="N28"/>
  <c r="O28" s="1"/>
  <c r="P29"/>
  <c r="U29" s="1"/>
  <c r="Q28"/>
  <c r="Z26" l="1"/>
  <c r="L26"/>
  <c r="M26" s="1"/>
  <c r="G29"/>
  <c r="R29" s="1"/>
  <c r="E28"/>
  <c r="I28" s="1"/>
  <c r="K27"/>
  <c r="W31"/>
  <c r="T31"/>
  <c r="Y34"/>
  <c r="X34" s="1"/>
  <c r="X33"/>
  <c r="N29"/>
  <c r="O29" s="1"/>
  <c r="H28"/>
  <c r="P30"/>
  <c r="U30" s="1"/>
  <c r="Q29"/>
  <c r="Z27" l="1"/>
  <c r="L27"/>
  <c r="M27" s="1"/>
  <c r="G30"/>
  <c r="R30" s="1"/>
  <c r="E29"/>
  <c r="I29" s="1"/>
  <c r="K28"/>
  <c r="W32"/>
  <c r="T32"/>
  <c r="H29"/>
  <c r="N30"/>
  <c r="O30" s="1"/>
  <c r="Q30"/>
  <c r="P31"/>
  <c r="U31" s="1"/>
  <c r="Z28" l="1"/>
  <c r="L28"/>
  <c r="M28" s="1"/>
  <c r="G31"/>
  <c r="R31" s="1"/>
  <c r="E30"/>
  <c r="I30" s="1"/>
  <c r="K29"/>
  <c r="W33"/>
  <c r="T33"/>
  <c r="H30"/>
  <c r="N31"/>
  <c r="O31" s="1"/>
  <c r="Q31"/>
  <c r="P32"/>
  <c r="U32" s="1"/>
  <c r="Z29" l="1"/>
  <c r="L29"/>
  <c r="M29" s="1"/>
  <c r="G32"/>
  <c r="E31"/>
  <c r="I31" s="1"/>
  <c r="K30"/>
  <c r="W34"/>
  <c r="T34"/>
  <c r="H31"/>
  <c r="N32"/>
  <c r="O32" s="1"/>
  <c r="Q32"/>
  <c r="P33"/>
  <c r="U33" s="1"/>
  <c r="Z30" l="1"/>
  <c r="L30"/>
  <c r="M30" s="1"/>
  <c r="G33"/>
  <c r="E32"/>
  <c r="I32" s="1"/>
  <c r="K31"/>
  <c r="H32"/>
  <c r="N33"/>
  <c r="O33" s="1"/>
  <c r="R32"/>
  <c r="Q33"/>
  <c r="P34"/>
  <c r="U34" s="1"/>
  <c r="Z31" l="1"/>
  <c r="L31"/>
  <c r="M31" s="1"/>
  <c r="G34"/>
  <c r="E33"/>
  <c r="I33" s="1"/>
  <c r="K32"/>
  <c r="N34"/>
  <c r="O34" s="1"/>
  <c r="H33"/>
  <c r="R33"/>
  <c r="Q34"/>
  <c r="Z32" l="1"/>
  <c r="L32"/>
  <c r="M32" s="1"/>
  <c r="E34"/>
  <c r="I34" s="1"/>
  <c r="H34"/>
  <c r="K33"/>
  <c r="R34"/>
  <c r="Z33" l="1"/>
  <c r="L33"/>
  <c r="M33" s="1"/>
  <c r="K34"/>
  <c r="Z34" l="1"/>
  <c r="L34"/>
  <c r="M34" s="1"/>
</calcChain>
</file>

<file path=xl/sharedStrings.xml><?xml version="1.0" encoding="utf-8"?>
<sst xmlns="http://schemas.openxmlformats.org/spreadsheetml/2006/main" count="61" uniqueCount="61">
  <si>
    <t>darüberhinaus</t>
  </si>
  <si>
    <t>anzahl LP</t>
  </si>
  <si>
    <t>verbrauch je auto in kWh/100km</t>
  </si>
  <si>
    <t>fahrleistung je auto (km/jahr)</t>
  </si>
  <si>
    <t>bis 10</t>
  </si>
  <si>
    <t>anteil ev je LP (%) 2030</t>
  </si>
  <si>
    <t>jahr</t>
  </si>
  <si>
    <t>gesamtinstallierte Ladepunkte im Jahre</t>
  </si>
  <si>
    <t>systemnutzungs-einnahmen (€)</t>
  </si>
  <si>
    <t>fabio gewinn im Jahre (€)</t>
  </si>
  <si>
    <t>Fabio kumulierter gewinn (€)</t>
  </si>
  <si>
    <t>anteil ev-autos (%) je LP</t>
  </si>
  <si>
    <t>gesamtladesystem-stromdurchreichung kWh im  Jahre</t>
  </si>
  <si>
    <t>tüv testgebühren (€)</t>
  </si>
  <si>
    <t>moldkosten box/holder (€)</t>
  </si>
  <si>
    <t>10/30/100-install/monat (#)</t>
  </si>
  <si>
    <t>BEV in D in Mio</t>
  </si>
  <si>
    <t># BEV bestand (mio)</t>
  </si>
  <si>
    <t>#  wohnungen (LP) in gebäuden mit: 7-12 wohungen: 19,5mio; &gt;13 wohnungen: 11,9mio, total: &gt;30mio</t>
  </si>
  <si>
    <t>mietkauf jahre (5-15)</t>
  </si>
  <si>
    <t xml:space="preserve">10Jahres preise </t>
  </si>
  <si>
    <t>preis je modul o install(€)</t>
  </si>
  <si>
    <t xml:space="preserve">Mietkaufvertrag Preis (€) exkl. </t>
  </si>
  <si>
    <t>entspricht # BEV</t>
  </si>
  <si>
    <t>pauschal je genutztem LP inkl. SW</t>
  </si>
  <si>
    <t>BEV-Anteil bei 50 Mio PKW in D (%)</t>
  </si>
  <si>
    <t>installationskosten zu lasten abacus pro Ladepunkt (LP) in €</t>
  </si>
  <si>
    <r>
      <t xml:space="preserve">nutzungskosten zu lasten kunden je system </t>
    </r>
    <r>
      <rPr>
        <b/>
        <sz val="11"/>
        <color theme="1"/>
        <rFont val="Calibri"/>
        <family val="2"/>
        <scheme val="minor"/>
      </rPr>
      <t xml:space="preserve">im monat </t>
    </r>
    <r>
      <rPr>
        <sz val="11"/>
        <color theme="1"/>
        <rFont val="Calibri"/>
        <family val="2"/>
        <scheme val="minor"/>
      </rPr>
      <t>(€)</t>
    </r>
  </si>
  <si>
    <t>nächste 30</t>
  </si>
  <si>
    <t>installkosten zu lasten abacus* (€)</t>
  </si>
  <si>
    <t>garage zieht geschätzt im monat (kWh)</t>
  </si>
  <si>
    <t>anteil ev je LP (%) 2022</t>
  </si>
  <si>
    <t>jährliche Kosten Material u. Installationen (€)</t>
  </si>
  <si>
    <t>zus. wachstumsrate Y/Y (%)</t>
  </si>
  <si>
    <r>
      <t xml:space="preserve">zzgl. mtl. Nutzkosten / </t>
    </r>
    <r>
      <rPr>
        <b/>
        <sz val="11"/>
        <color theme="1"/>
        <rFont val="Calibri"/>
        <family val="2"/>
        <scheme val="minor"/>
      </rPr>
      <t>gen</t>
    </r>
    <r>
      <rPr>
        <sz val="11"/>
        <color theme="1"/>
        <rFont val="Calibri"/>
        <family val="2"/>
        <scheme val="minor"/>
      </rPr>
      <t>. LP f. SW &amp; FW (€)</t>
    </r>
  </si>
  <si>
    <t>Kosten Stromeinkauf (€ct/kWh)</t>
  </si>
  <si>
    <t>Stromkosten / gen. LP (€)</t>
  </si>
  <si>
    <t>rot=eingabe,</t>
  </si>
  <si>
    <t>schwarz=berechnung</t>
  </si>
  <si>
    <t>gesamtmonatskosten LP-Nutzer inkl. Strom(€)</t>
  </si>
  <si>
    <t>neuinstallierte Mietkauf-Ladepunkte im Jahr</t>
  </si>
  <si>
    <t>garage zieht (1KW/LP gem. Simulator) (kW)</t>
  </si>
  <si>
    <t>LP Vk wachstumsfaktor</t>
  </si>
  <si>
    <t>MK-sys-Marktant. Abacus LP/BEV (%)</t>
  </si>
  <si>
    <t>VK-sys-Marktant. Abacus LP/BEV (%)</t>
  </si>
  <si>
    <t>LP VK Anz/jahr (#)</t>
  </si>
  <si>
    <t>LP VK sys jemals verkauft (#)</t>
  </si>
  <si>
    <t>LP VK preisverfallfaktor</t>
  </si>
  <si>
    <t xml:space="preserve"> LP Vk gew 2022 (€)</t>
  </si>
  <si>
    <t>jahresgewinn Mietkauf sys (€)</t>
  </si>
  <si>
    <t>Anzahl aktiver Mietkaufverträge (#)</t>
  </si>
  <si>
    <t>&gt; lineares jahreswachstum (# Mio BEV)&gt;</t>
  </si>
  <si>
    <t>*=nur LP anbringen &amp; System testen, die leitungen inkl. LP-Rückenschale muss der hauselektriker vorher legen</t>
  </si>
  <si>
    <t>pauschal je installiertem LP inkl.FW</t>
  </si>
  <si>
    <t>kosten je 10er, 30er, 100er unit(€)</t>
  </si>
  <si>
    <t>admin&amp;tax(%)</t>
  </si>
  <si>
    <t>LP VK gew (€)</t>
  </si>
  <si>
    <t>Abacus E-Kap inkl gf/admin tax (€)</t>
  </si>
  <si>
    <t>Jahresgewinn mit tüv/mold, inkl admin &amp; tax. (€)</t>
  </si>
  <si>
    <t>VK gew (€)</t>
  </si>
  <si>
    <t>ratio gew Miet-VK (%)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</si>
</sst>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2.1"/>
      <color theme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Protection="1"/>
    <xf numFmtId="1" fontId="0" fillId="0" borderId="0" xfId="0" applyNumberFormat="1" applyProtection="1"/>
    <xf numFmtId="1" fontId="2" fillId="0" borderId="0" xfId="0" applyNumberFormat="1" applyFont="1" applyProtection="1"/>
    <xf numFmtId="0" fontId="1" fillId="0" borderId="0" xfId="0" applyFont="1" applyProtection="1">
      <protection locked="0"/>
    </xf>
    <xf numFmtId="0" fontId="0" fillId="0" borderId="0" xfId="0" applyAlignment="1" applyProtection="1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164" fontId="0" fillId="0" borderId="0" xfId="0" applyNumberFormat="1" applyFont="1" applyProtection="1"/>
    <xf numFmtId="1" fontId="0" fillId="0" borderId="0" xfId="0" applyNumberFormat="1" applyFont="1" applyProtection="1"/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/>
    <xf numFmtId="2" fontId="0" fillId="0" borderId="0" xfId="0" applyNumberFormat="1" applyFont="1" applyProtection="1"/>
    <xf numFmtId="0" fontId="0" fillId="0" borderId="0" xfId="0" applyAlignment="1" applyProtection="1">
      <alignment vertical="center"/>
    </xf>
    <xf numFmtId="2" fontId="0" fillId="0" borderId="0" xfId="0" applyNumberFormat="1" applyProtection="1"/>
    <xf numFmtId="1" fontId="0" fillId="0" borderId="0" xfId="0" applyNumberFormat="1" applyFont="1" applyAlignment="1" applyProtection="1">
      <alignment vertical="center"/>
    </xf>
    <xf numFmtId="1" fontId="1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horizontal="right"/>
    </xf>
    <xf numFmtId="1" fontId="3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protection locked="0"/>
    </xf>
    <xf numFmtId="1" fontId="3" fillId="0" borderId="0" xfId="0" applyNumberFormat="1" applyFont="1" applyAlignment="1" applyProtection="1">
      <alignment vertical="center"/>
      <protection locked="0"/>
    </xf>
    <xf numFmtId="1" fontId="0" fillId="0" borderId="0" xfId="0" applyNumberFormat="1" applyFont="1" applyAlignment="1" applyProtection="1">
      <alignment horizontal="right" vertical="center" wrapText="1"/>
    </xf>
    <xf numFmtId="1" fontId="2" fillId="0" borderId="0" xfId="0" applyNumberFormat="1" applyFont="1" applyAlignment="1" applyProtection="1">
      <alignment vertical="center"/>
      <protection locked="0"/>
    </xf>
    <xf numFmtId="0" fontId="4" fillId="0" borderId="0" xfId="1" applyAlignment="1" applyProtection="1"/>
    <xf numFmtId="1" fontId="2" fillId="0" borderId="0" xfId="0" applyNumberFormat="1" applyFont="1" applyAlignment="1" applyProtection="1">
      <alignment horizontal="right" vertical="center" wrapText="1"/>
    </xf>
    <xf numFmtId="1" fontId="3" fillId="0" borderId="0" xfId="0" applyNumberFormat="1" applyFont="1" applyAlignment="1" applyProtection="1">
      <alignment horizontal="right"/>
      <protection locked="0"/>
    </xf>
    <xf numFmtId="1" fontId="3" fillId="0" borderId="0" xfId="0" applyNumberFormat="1" applyFont="1" applyProtection="1"/>
    <xf numFmtId="0" fontId="1" fillId="0" borderId="0" xfId="0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Fill="1" applyProtection="1"/>
    <xf numFmtId="0" fontId="5" fillId="2" borderId="0" xfId="0" applyFont="1" applyFill="1" applyAlignment="1" applyProtection="1"/>
    <xf numFmtId="0" fontId="6" fillId="2" borderId="0" xfId="0" applyFont="1" applyFill="1" applyProtection="1"/>
    <xf numFmtId="0" fontId="7" fillId="2" borderId="0" xfId="0" applyFont="1" applyFill="1" applyProtection="1"/>
    <xf numFmtId="0" fontId="1" fillId="0" borderId="1" xfId="0" applyFont="1" applyBorder="1" applyProtection="1">
      <protection locked="0"/>
    </xf>
    <xf numFmtId="0" fontId="0" fillId="0" borderId="0" xfId="0" applyFont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left"/>
    </xf>
    <xf numFmtId="0" fontId="6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6186861432222243E-2"/>
          <c:y val="6.6143636040968581E-2"/>
          <c:w val="0.91568235874791237"/>
          <c:h val="0.87663872413004262"/>
        </c:manualLayout>
      </c:layout>
      <c:lineChart>
        <c:grouping val="standard"/>
        <c:ser>
          <c:idx val="3"/>
          <c:order val="0"/>
          <c:tx>
            <c:strRef>
              <c:f>Tabelle1!$I$1</c:f>
              <c:strCache>
                <c:ptCount val="1"/>
                <c:pt idx="0">
                  <c:v>systemnutzungs-einnahmen (€)</c:v>
                </c:pt>
              </c:strCache>
            </c:strRef>
          </c:tx>
          <c:marker>
            <c:symbol val="none"/>
          </c:marker>
          <c:cat>
            <c:numRef>
              <c:f>Tabelle1!$D$6:$D$14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Tabelle1!$I$6:$I$14</c:f>
              <c:numCache>
                <c:formatCode>0</c:formatCode>
                <c:ptCount val="9"/>
                <c:pt idx="0">
                  <c:v>124387.29599999997</c:v>
                </c:pt>
                <c:pt idx="1">
                  <c:v>300981.97008</c:v>
                </c:pt>
                <c:pt idx="2">
                  <c:v>537169.53312000004</c:v>
                </c:pt>
                <c:pt idx="3">
                  <c:v>840335.49600000004</c:v>
                </c:pt>
                <c:pt idx="4">
                  <c:v>1217865.3696000001</c:v>
                </c:pt>
                <c:pt idx="5">
                  <c:v>1677144.6648000001</c:v>
                </c:pt>
                <c:pt idx="6">
                  <c:v>2225558.8924799999</c:v>
                </c:pt>
                <c:pt idx="7">
                  <c:v>2870493.5635200003</c:v>
                </c:pt>
                <c:pt idx="8">
                  <c:v>3619334.1888000001</c:v>
                </c:pt>
              </c:numCache>
            </c:numRef>
          </c:val>
        </c:ser>
        <c:ser>
          <c:idx val="4"/>
          <c:order val="1"/>
          <c:tx>
            <c:strRef>
              <c:f>Tabelle1!$J$1</c:f>
              <c:strCache>
                <c:ptCount val="1"/>
                <c:pt idx="0">
                  <c:v>jährliche Kosten Material u. Installationen (€)</c:v>
                </c:pt>
              </c:strCache>
            </c:strRef>
          </c:tx>
          <c:marker>
            <c:symbol val="none"/>
          </c:marker>
          <c:cat>
            <c:numRef>
              <c:f>Tabelle1!$D$6:$D$14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Tabelle1!$J$6:$J$14</c:f>
              <c:numCache>
                <c:formatCode>0</c:formatCode>
                <c:ptCount val="9"/>
                <c:pt idx="0">
                  <c:v>-441360</c:v>
                </c:pt>
                <c:pt idx="1">
                  <c:v>-556939.20000000007</c:v>
                </c:pt>
                <c:pt idx="2">
                  <c:v>-672518.40000000014</c:v>
                </c:pt>
                <c:pt idx="3">
                  <c:v>-788097.60000000021</c:v>
                </c:pt>
                <c:pt idx="4">
                  <c:v>-903676.80000000028</c:v>
                </c:pt>
                <c:pt idx="5">
                  <c:v>-1019256.0000000003</c:v>
                </c:pt>
                <c:pt idx="6">
                  <c:v>-1134835.2000000004</c:v>
                </c:pt>
                <c:pt idx="7">
                  <c:v>-1250414.4000000004</c:v>
                </c:pt>
                <c:pt idx="8">
                  <c:v>-1365993.6000000003</c:v>
                </c:pt>
              </c:numCache>
            </c:numRef>
          </c:val>
        </c:ser>
        <c:ser>
          <c:idx val="5"/>
          <c:order val="2"/>
          <c:tx>
            <c:strRef>
              <c:f>Tabelle1!$L$1</c:f>
              <c:strCache>
                <c:ptCount val="1"/>
                <c:pt idx="0">
                  <c:v>Jahresgewinn mit tüv/mold, inkl admin &amp; tax. (€)</c:v>
                </c:pt>
              </c:strCache>
            </c:strRef>
          </c:tx>
          <c:marker>
            <c:symbol val="none"/>
          </c:marker>
          <c:cat>
            <c:numRef>
              <c:f>Tabelle1!$D$6:$D$14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Tabelle1!$L$6:$L$14</c:f>
              <c:numCache>
                <c:formatCode>0</c:formatCode>
                <c:ptCount val="9"/>
                <c:pt idx="0">
                  <c:v>185865.56831999996</c:v>
                </c:pt>
                <c:pt idx="1">
                  <c:v>1814115.6309536002</c:v>
                </c:pt>
                <c:pt idx="2">
                  <c:v>2990978.2843903992</c:v>
                </c:pt>
                <c:pt idx="3">
                  <c:v>3293240.6495639598</c:v>
                </c:pt>
                <c:pt idx="4">
                  <c:v>3413667.0323884403</c:v>
                </c:pt>
                <c:pt idx="5">
                  <c:v>3554143.0838365653</c:v>
                </c:pt>
                <c:pt idx="6">
                  <c:v>3751659.133952524</c:v>
                </c:pt>
                <c:pt idx="7">
                  <c:v>4015834.5811755639</c:v>
                </c:pt>
                <c:pt idx="8">
                  <c:v>4352227.7163712066</c:v>
                </c:pt>
              </c:numCache>
            </c:numRef>
          </c:val>
        </c:ser>
        <c:ser>
          <c:idx val="6"/>
          <c:order val="3"/>
          <c:tx>
            <c:strRef>
              <c:f>Tabelle1!$M$3</c:f>
              <c:strCache>
                <c:ptCount val="1"/>
                <c:pt idx="0">
                  <c:v>Abacus E-Kap inkl gf/admin tax (€)</c:v>
                </c:pt>
              </c:strCache>
            </c:strRef>
          </c:tx>
          <c:marker>
            <c:symbol val="none"/>
          </c:marker>
          <c:cat>
            <c:numRef>
              <c:f>Tabelle1!$D$6:$D$14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Tabelle1!$M$6:$M$14</c:f>
              <c:numCache>
                <c:formatCode>#,##0</c:formatCode>
                <c:ptCount val="9"/>
                <c:pt idx="0">
                  <c:v>185865.56831999996</c:v>
                </c:pt>
                <c:pt idx="1">
                  <c:v>1999981.1992736002</c:v>
                </c:pt>
                <c:pt idx="2">
                  <c:v>4990959.4836639995</c:v>
                </c:pt>
                <c:pt idx="3">
                  <c:v>8284200.1332279593</c:v>
                </c:pt>
                <c:pt idx="4">
                  <c:v>11697867.165616401</c:v>
                </c:pt>
                <c:pt idx="5">
                  <c:v>15252010.249452965</c:v>
                </c:pt>
                <c:pt idx="6">
                  <c:v>19003669.383405488</c:v>
                </c:pt>
                <c:pt idx="7">
                  <c:v>23019503.96458105</c:v>
                </c:pt>
                <c:pt idx="8">
                  <c:v>27371731.680952258</c:v>
                </c:pt>
              </c:numCache>
            </c:numRef>
          </c:val>
        </c:ser>
        <c:ser>
          <c:idx val="0"/>
          <c:order val="4"/>
          <c:tx>
            <c:strRef>
              <c:f>Tabelle1!$O$5</c:f>
              <c:strCache>
                <c:ptCount val="1"/>
                <c:pt idx="0">
                  <c:v>Fabio kumulierter gewinn (€)</c:v>
                </c:pt>
              </c:strCache>
            </c:strRef>
          </c:tx>
          <c:marker>
            <c:symbol val="none"/>
          </c:marker>
          <c:val>
            <c:numRef>
              <c:f>Tabelle1!$O$6:$O$14</c:f>
            </c:numRef>
          </c:val>
        </c:ser>
        <c:marker val="1"/>
        <c:axId val="118700672"/>
        <c:axId val="118710656"/>
      </c:lineChart>
      <c:catAx>
        <c:axId val="118700672"/>
        <c:scaling>
          <c:orientation val="minMax"/>
        </c:scaling>
        <c:axPos val="b"/>
        <c:numFmt formatCode="General" sourceLinked="1"/>
        <c:tickLblPos val="nextTo"/>
        <c:crossAx val="118710656"/>
        <c:crosses val="autoZero"/>
        <c:auto val="1"/>
        <c:lblAlgn val="ctr"/>
        <c:lblOffset val="100"/>
      </c:catAx>
      <c:valAx>
        <c:axId val="118710656"/>
        <c:scaling>
          <c:orientation val="minMax"/>
        </c:scaling>
        <c:axPos val="l"/>
        <c:majorGridlines/>
        <c:numFmt formatCode="0" sourceLinked="1"/>
        <c:tickLblPos val="nextTo"/>
        <c:crossAx val="118700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419382285279091"/>
          <c:y val="4.4802707045060501E-2"/>
          <c:w val="0.86580618815751542"/>
          <c:h val="0.55021792729854913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58450</xdr:colOff>
      <xdr:row>35</xdr:row>
      <xdr:rowOff>67105</xdr:rowOff>
    </xdr:from>
    <xdr:to>
      <xdr:col>3</xdr:col>
      <xdr:colOff>95250</xdr:colOff>
      <xdr:row>44</xdr:row>
      <xdr:rowOff>112567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iusthingks.com/Uploads/ewall%20soc%20sim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6"/>
  <sheetViews>
    <sheetView tabSelected="1" zoomScale="110" zoomScaleNormal="110" workbookViewId="0">
      <selection activeCell="AB1" sqref="AB1"/>
    </sheetView>
  </sheetViews>
  <sheetFormatPr baseColWidth="10" defaultRowHeight="15"/>
  <cols>
    <col min="1" max="1" width="32.28515625" style="2" customWidth="1"/>
    <col min="2" max="2" width="9" style="2" customWidth="1"/>
    <col min="3" max="3" width="10.42578125" style="2" customWidth="1"/>
    <col min="4" max="4" width="6.28515625" style="2" customWidth="1"/>
    <col min="5" max="5" width="8.140625" style="2" customWidth="1"/>
    <col min="6" max="6" width="12.5703125" style="2" customWidth="1"/>
    <col min="7" max="7" width="8.85546875" style="2" customWidth="1"/>
    <col min="8" max="8" width="12" style="2" customWidth="1"/>
    <col min="9" max="9" width="10.28515625" style="2" customWidth="1"/>
    <col min="10" max="10" width="10.42578125" style="2" customWidth="1"/>
    <col min="11" max="11" width="9.42578125" style="2" customWidth="1"/>
    <col min="12" max="12" width="9.5703125" style="2" customWidth="1"/>
    <col min="13" max="13" width="12.28515625" style="2" customWidth="1"/>
    <col min="14" max="14" width="11.140625" style="2" hidden="1" customWidth="1"/>
    <col min="15" max="15" width="12.7109375" style="2" hidden="1" customWidth="1"/>
    <col min="16" max="16" width="8.5703125" style="2" customWidth="1"/>
    <col min="17" max="17" width="10.42578125" style="2" customWidth="1"/>
    <col min="18" max="18" width="8" style="2" customWidth="1"/>
    <col min="19" max="19" width="7.7109375" style="2" customWidth="1"/>
    <col min="20" max="20" width="10" style="2" customWidth="1"/>
    <col min="21" max="21" width="6.85546875" style="2" customWidth="1"/>
    <col min="22" max="22" width="11.42578125" style="2" hidden="1" customWidth="1"/>
    <col min="23" max="23" width="8.7109375" style="2" customWidth="1"/>
    <col min="24" max="24" width="5.28515625" style="2" customWidth="1"/>
    <col min="25" max="25" width="0" style="2" hidden="1" customWidth="1"/>
    <col min="26" max="26" width="5.5703125" style="2" customWidth="1"/>
    <col min="28" max="16384" width="11.42578125" style="2"/>
  </cols>
  <sheetData>
    <row r="1" spans="1:26" ht="15" customHeight="1">
      <c r="A1" s="40" t="s">
        <v>26</v>
      </c>
      <c r="B1" s="36" t="s">
        <v>37</v>
      </c>
      <c r="C1" s="34" t="s">
        <v>38</v>
      </c>
      <c r="D1" s="35"/>
      <c r="E1" s="40" t="s">
        <v>50</v>
      </c>
      <c r="F1" s="40" t="s">
        <v>40</v>
      </c>
      <c r="G1" s="40" t="s">
        <v>7</v>
      </c>
      <c r="H1" s="40" t="s">
        <v>12</v>
      </c>
      <c r="I1" s="40" t="s">
        <v>8</v>
      </c>
      <c r="J1" s="40" t="s">
        <v>32</v>
      </c>
      <c r="K1" s="40" t="s">
        <v>49</v>
      </c>
      <c r="L1" s="40" t="s">
        <v>58</v>
      </c>
      <c r="M1" s="2" t="s">
        <v>55</v>
      </c>
      <c r="P1" s="40" t="s">
        <v>51</v>
      </c>
      <c r="Q1" s="32">
        <v>1.7749999999999999</v>
      </c>
      <c r="R1" s="40" t="s">
        <v>43</v>
      </c>
      <c r="S1" s="40" t="s">
        <v>48</v>
      </c>
      <c r="T1" s="40" t="s">
        <v>47</v>
      </c>
      <c r="U1" s="41" t="s">
        <v>44</v>
      </c>
      <c r="V1" s="17"/>
      <c r="W1" s="40" t="s">
        <v>42</v>
      </c>
      <c r="Z1" s="40" t="s">
        <v>60</v>
      </c>
    </row>
    <row r="2" spans="1:26" ht="30.75" customHeight="1">
      <c r="A2" s="40"/>
      <c r="B2" s="14" t="s">
        <v>20</v>
      </c>
      <c r="C2" s="1" t="str">
        <f>C3&amp;"jahres preise"</f>
        <v>15jahres preise</v>
      </c>
      <c r="E2" s="40"/>
      <c r="F2" s="40"/>
      <c r="G2" s="40"/>
      <c r="H2" s="40"/>
      <c r="I2" s="40"/>
      <c r="J2" s="40"/>
      <c r="K2" s="40"/>
      <c r="L2" s="40"/>
      <c r="M2" s="39">
        <v>33</v>
      </c>
      <c r="P2" s="40"/>
      <c r="Q2" s="40" t="s">
        <v>25</v>
      </c>
      <c r="R2" s="40"/>
      <c r="S2" s="40"/>
      <c r="T2" s="40"/>
      <c r="U2" s="41"/>
      <c r="V2" s="17"/>
      <c r="W2" s="40"/>
      <c r="Z2" s="40"/>
    </row>
    <row r="3" spans="1:26" ht="15" customHeight="1">
      <c r="A3" s="1" t="s">
        <v>19</v>
      </c>
      <c r="B3" s="11">
        <v>10</v>
      </c>
      <c r="C3" s="9">
        <v>15</v>
      </c>
      <c r="E3" s="40"/>
      <c r="F3" s="40"/>
      <c r="G3" s="40"/>
      <c r="H3" s="40"/>
      <c r="I3" s="40"/>
      <c r="J3" s="40"/>
      <c r="K3" s="40"/>
      <c r="L3" s="40"/>
      <c r="M3" s="43" t="s">
        <v>57</v>
      </c>
      <c r="P3" s="40"/>
      <c r="Q3" s="40"/>
      <c r="R3" s="40"/>
      <c r="S3" s="40"/>
      <c r="T3" s="40"/>
      <c r="U3" s="41"/>
      <c r="V3" s="17"/>
      <c r="W3" s="31">
        <v>0.15</v>
      </c>
      <c r="X3" s="40" t="s">
        <v>56</v>
      </c>
      <c r="Z3" s="40"/>
    </row>
    <row r="4" spans="1:26" ht="15" customHeight="1">
      <c r="A4" s="2" t="s">
        <v>4</v>
      </c>
      <c r="B4" s="9">
        <v>299</v>
      </c>
      <c r="C4" s="16">
        <f>B4</f>
        <v>299</v>
      </c>
      <c r="E4" s="40"/>
      <c r="F4" s="40"/>
      <c r="G4" s="40"/>
      <c r="H4" s="40"/>
      <c r="I4" s="40"/>
      <c r="J4" s="40"/>
      <c r="K4" s="40"/>
      <c r="L4" s="40"/>
      <c r="M4" s="43"/>
      <c r="N4" s="1" t="s">
        <v>17</v>
      </c>
      <c r="O4" s="5">
        <v>0.3</v>
      </c>
      <c r="P4" s="40"/>
      <c r="Q4" s="40"/>
      <c r="R4" s="40"/>
      <c r="S4" s="7">
        <v>550</v>
      </c>
      <c r="T4" s="31">
        <v>0.97</v>
      </c>
      <c r="U4" s="41"/>
      <c r="W4" s="44" t="s">
        <v>46</v>
      </c>
      <c r="X4" s="40"/>
      <c r="Z4" s="40"/>
    </row>
    <row r="5" spans="1:26" ht="18" customHeight="1">
      <c r="A5" s="2" t="s">
        <v>28</v>
      </c>
      <c r="B5" s="9">
        <v>199</v>
      </c>
      <c r="C5" s="16">
        <f>B5</f>
        <v>199</v>
      </c>
      <c r="D5" s="21" t="s">
        <v>6</v>
      </c>
      <c r="E5" s="40"/>
      <c r="F5" s="40"/>
      <c r="G5" s="40"/>
      <c r="H5" s="40"/>
      <c r="I5" s="40"/>
      <c r="J5" s="40"/>
      <c r="K5" s="40"/>
      <c r="L5" s="40"/>
      <c r="M5" s="43"/>
      <c r="N5" s="11" t="s">
        <v>9</v>
      </c>
      <c r="O5" s="11" t="s">
        <v>10</v>
      </c>
      <c r="P5" s="1" t="s">
        <v>16</v>
      </c>
      <c r="Q5" s="40"/>
      <c r="R5" s="40"/>
      <c r="S5" s="1" t="s">
        <v>45</v>
      </c>
      <c r="T5" s="1" t="s">
        <v>59</v>
      </c>
      <c r="U5" s="41"/>
      <c r="W5" s="44"/>
      <c r="X5" s="40"/>
      <c r="Z5" s="40"/>
    </row>
    <row r="6" spans="1:26" ht="14.25" customHeight="1">
      <c r="A6" s="2" t="s">
        <v>0</v>
      </c>
      <c r="B6" s="9">
        <v>99</v>
      </c>
      <c r="C6" s="16">
        <f>B6</f>
        <v>99</v>
      </c>
      <c r="D6" s="2">
        <v>2022</v>
      </c>
      <c r="E6" s="3">
        <f>G6</f>
        <v>2640</v>
      </c>
      <c r="F6" s="2">
        <f>$B$27*12*10+$C$27*12*30+$C$31*12*100</f>
        <v>2640</v>
      </c>
      <c r="G6" s="2">
        <f>F6</f>
        <v>2640</v>
      </c>
      <c r="H6" s="3">
        <f>G6*B29/10000*$C$14*$C$15</f>
        <v>100320</v>
      </c>
      <c r="I6" s="3">
        <f t="shared" ref="I6:I34" si="0">$C$9*G6*12+$B$10*G6*12*Q6*0.01-(G6-E6)*$C$9</f>
        <v>124387.29599999997</v>
      </c>
      <c r="J6" s="3">
        <f>-1*($B$27*12*10*$B$4+$C$27*12*30*$B$5+$C$31*12*100*$B$6)</f>
        <v>-441360</v>
      </c>
      <c r="K6" s="3">
        <f t="shared" ref="K6:K34" si="1">I6+J6</f>
        <v>-316972.70400000003</v>
      </c>
      <c r="L6" s="4">
        <f>(I6+J6-B31-B32+T6)-(I6+J6-B31-B32+T6)*M2*0.01</f>
        <v>185865.56831999996</v>
      </c>
      <c r="M6" s="33">
        <f>L6</f>
        <v>185865.56831999996</v>
      </c>
      <c r="N6" s="4">
        <f>$C$4*0.5*(F6+S6)</f>
        <v>560774.5</v>
      </c>
      <c r="O6" s="4">
        <f>N6</f>
        <v>560774.5</v>
      </c>
      <c r="P6" s="12">
        <f>O4</f>
        <v>0.3</v>
      </c>
      <c r="Q6" s="12">
        <f t="shared" ref="Q6:Q13" si="2">P6/0.5</f>
        <v>0.6</v>
      </c>
      <c r="R6" s="18">
        <f>G6/10000/P6</f>
        <v>0.88000000000000012</v>
      </c>
      <c r="S6" s="8">
        <v>1111</v>
      </c>
      <c r="T6" s="30">
        <f>S6*X6</f>
        <v>611050</v>
      </c>
      <c r="U6" s="18">
        <f>W6/10000/P6</f>
        <v>0.37033333333333335</v>
      </c>
      <c r="V6" s="2">
        <v>1</v>
      </c>
      <c r="W6" s="2">
        <f>S6</f>
        <v>1111</v>
      </c>
      <c r="X6" s="2">
        <f>S4</f>
        <v>550</v>
      </c>
      <c r="Y6" s="2">
        <v>1</v>
      </c>
      <c r="Z6" s="3">
        <f>K6/T6*100</f>
        <v>-51.873447999345387</v>
      </c>
    </row>
    <row r="7" spans="1:26" ht="14.25" customHeight="1">
      <c r="B7" s="9"/>
      <c r="C7" s="16"/>
      <c r="D7" s="2">
        <v>2023</v>
      </c>
      <c r="E7" s="3">
        <f>G7</f>
        <v>5860.8</v>
      </c>
      <c r="F7" s="3">
        <f t="shared" ref="F7:F34" si="3">$B$27*12*10/100*$B$28+$C$27*12*30/100*$C$28+$C$31*12*100/100*$C$32+F6</f>
        <v>3220.8</v>
      </c>
      <c r="G7" s="3">
        <f>G6+F7</f>
        <v>5860.8</v>
      </c>
      <c r="H7" s="3">
        <f>G7*(($B$30-$B$29)/9+$B$29)/10000*$C$14*$C$15</f>
        <v>556776</v>
      </c>
      <c r="I7" s="3">
        <f t="shared" si="0"/>
        <v>300981.97008</v>
      </c>
      <c r="J7" s="3">
        <f>J6-$B$5*(F7-F6)</f>
        <v>-556939.20000000007</v>
      </c>
      <c r="K7" s="3">
        <f t="shared" si="1"/>
        <v>-255957.22992000007</v>
      </c>
      <c r="L7" s="4">
        <f>(K7+T7)-(K7+T7)*$M$2*0.01</f>
        <v>1814115.6309536002</v>
      </c>
      <c r="M7" s="33">
        <f>M6+L7</f>
        <v>1999981.1992736002</v>
      </c>
      <c r="N7" s="4">
        <f t="shared" ref="N7:N34" si="4">$C$4*0.5*(F7+S7)</f>
        <v>1311982.0999999999</v>
      </c>
      <c r="O7" s="4">
        <f>N7+O6</f>
        <v>1872756.5999999999</v>
      </c>
      <c r="P7" s="12">
        <f t="shared" ref="P7:P34" si="5">P6+$Q$1</f>
        <v>2.0749999999999997</v>
      </c>
      <c r="Q7" s="12">
        <f t="shared" si="2"/>
        <v>4.1499999999999995</v>
      </c>
      <c r="R7" s="18">
        <f t="shared" ref="R7:R14" si="6">G7/10000/P7</f>
        <v>0.28244819277108441</v>
      </c>
      <c r="S7" s="29">
        <f>S6+4*S6*V6</f>
        <v>5555</v>
      </c>
      <c r="T7" s="30">
        <f t="shared" ref="T7:T34" si="7">S7*X7</f>
        <v>2963592.5</v>
      </c>
      <c r="U7" s="18">
        <f t="shared" ref="U7:U34" si="8">W7/10000/P7</f>
        <v>0.32125301204819279</v>
      </c>
      <c r="V7" s="2">
        <f t="shared" ref="V7:V34" si="9">V6*$W$3</f>
        <v>0.15</v>
      </c>
      <c r="W7" s="3">
        <f>W6+S7</f>
        <v>6666</v>
      </c>
      <c r="X7" s="3">
        <f>$S$4*Y7</f>
        <v>533.5</v>
      </c>
      <c r="Y7" s="2">
        <f t="shared" ref="Y7:Y34" si="10">Y6*$T$4</f>
        <v>0.97</v>
      </c>
      <c r="Z7" s="3">
        <f t="shared" ref="Z7:Z34" si="11">K7/T7*100</f>
        <v>-8.6367214763838174</v>
      </c>
    </row>
    <row r="8" spans="1:26" ht="15.75" customHeight="1">
      <c r="A8" s="6" t="s">
        <v>27</v>
      </c>
      <c r="B8" s="15"/>
      <c r="C8" s="16"/>
      <c r="D8" s="2">
        <v>2024</v>
      </c>
      <c r="E8" s="3">
        <f>G8</f>
        <v>9662.4000000000015</v>
      </c>
      <c r="F8" s="3">
        <f t="shared" si="3"/>
        <v>3801.6000000000004</v>
      </c>
      <c r="G8" s="3">
        <f>G7+F8</f>
        <v>9662.4000000000015</v>
      </c>
      <c r="H8" s="3">
        <f t="shared" ref="H8:H34" si="12">G8*(($B$30-$B$29)/9*(D8-$D$6)+$B$29)/10000*$C$14*$C$15</f>
        <v>1468684.8</v>
      </c>
      <c r="I8" s="3">
        <f t="shared" si="0"/>
        <v>537169.53312000004</v>
      </c>
      <c r="J8" s="3">
        <f t="shared" ref="J8:J34" si="13">J7-$B$5*(F8-F7)</f>
        <v>-672518.40000000014</v>
      </c>
      <c r="K8" s="3">
        <f t="shared" si="1"/>
        <v>-135348.8668800001</v>
      </c>
      <c r="L8" s="4">
        <f t="shared" ref="L8:L34" si="14">(K8+T8)-(K8+T8)*$M$2*0.01</f>
        <v>2990978.2843903992</v>
      </c>
      <c r="M8" s="33">
        <f t="shared" ref="M8:M34" si="15">M7+L8</f>
        <v>4990959.4836639995</v>
      </c>
      <c r="N8" s="4">
        <f t="shared" si="4"/>
        <v>1897095.2</v>
      </c>
      <c r="O8" s="4">
        <f t="shared" ref="O8:O14" si="16">N8+O7</f>
        <v>3769851.8</v>
      </c>
      <c r="P8" s="12">
        <f t="shared" si="5"/>
        <v>3.8499999999999996</v>
      </c>
      <c r="Q8" s="12">
        <f t="shared" si="2"/>
        <v>7.6999999999999993</v>
      </c>
      <c r="R8" s="18">
        <f t="shared" si="6"/>
        <v>0.25097142857142862</v>
      </c>
      <c r="S8" s="29">
        <f t="shared" ref="S8:S34" si="17">S7+4*S7*V7</f>
        <v>8888</v>
      </c>
      <c r="T8" s="30">
        <f t="shared" si="7"/>
        <v>4599495.5599999996</v>
      </c>
      <c r="U8" s="18">
        <f t="shared" si="8"/>
        <v>0.40400000000000003</v>
      </c>
      <c r="V8" s="2">
        <f t="shared" si="9"/>
        <v>2.2499999999999999E-2</v>
      </c>
      <c r="W8" s="3">
        <f t="shared" ref="W8:W34" si="18">W7+S8</f>
        <v>15554</v>
      </c>
      <c r="X8" s="3">
        <f t="shared" ref="X8:X34" si="19">$S$4*Y8</f>
        <v>517.495</v>
      </c>
      <c r="Y8" s="2">
        <f t="shared" si="10"/>
        <v>0.94089999999999996</v>
      </c>
      <c r="Z8" s="3">
        <f t="shared" si="11"/>
        <v>-2.9426893691794351</v>
      </c>
    </row>
    <row r="9" spans="1:26" ht="14.25" customHeight="1">
      <c r="A9" s="1" t="s">
        <v>53</v>
      </c>
      <c r="B9" s="9">
        <v>5.8</v>
      </c>
      <c r="C9" s="16">
        <f>$B$3/$C$3*B9</f>
        <v>3.8666666666666663</v>
      </c>
      <c r="D9" s="2">
        <v>2025</v>
      </c>
      <c r="E9" s="3">
        <f>G9</f>
        <v>14044.800000000003</v>
      </c>
      <c r="F9" s="3">
        <f t="shared" si="3"/>
        <v>4382.4000000000005</v>
      </c>
      <c r="G9" s="3">
        <f t="shared" ref="G9:G14" si="20">G8+F9</f>
        <v>14044.800000000003</v>
      </c>
      <c r="H9" s="3">
        <f t="shared" si="12"/>
        <v>2935363.2000000011</v>
      </c>
      <c r="I9" s="3">
        <f t="shared" si="0"/>
        <v>840335.49600000004</v>
      </c>
      <c r="J9" s="3">
        <f t="shared" si="13"/>
        <v>-788097.60000000021</v>
      </c>
      <c r="K9" s="3">
        <f t="shared" si="1"/>
        <v>52237.895999999833</v>
      </c>
      <c r="L9" s="4">
        <f t="shared" si="14"/>
        <v>3293240.6495639598</v>
      </c>
      <c r="M9" s="33">
        <f t="shared" si="15"/>
        <v>8284200.1332279593</v>
      </c>
      <c r="N9" s="4">
        <f t="shared" si="4"/>
        <v>2103512.84</v>
      </c>
      <c r="O9" s="4">
        <f t="shared" si="16"/>
        <v>5873364.6399999997</v>
      </c>
      <c r="P9" s="12">
        <f t="shared" si="5"/>
        <v>5.625</v>
      </c>
      <c r="Q9" s="12">
        <f t="shared" si="2"/>
        <v>11.25</v>
      </c>
      <c r="R9" s="18">
        <f t="shared" si="6"/>
        <v>0.2496853333333334</v>
      </c>
      <c r="S9" s="29">
        <f t="shared" si="17"/>
        <v>9687.92</v>
      </c>
      <c r="T9" s="30">
        <f t="shared" si="7"/>
        <v>4863046.6555880001</v>
      </c>
      <c r="U9" s="18">
        <f t="shared" si="8"/>
        <v>0.44874524444444441</v>
      </c>
      <c r="V9" s="2">
        <f t="shared" si="9"/>
        <v>3.375E-3</v>
      </c>
      <c r="W9" s="3">
        <f t="shared" si="18"/>
        <v>25241.919999999998</v>
      </c>
      <c r="X9" s="3">
        <f t="shared" si="19"/>
        <v>501.97014999999999</v>
      </c>
      <c r="Y9" s="2">
        <f t="shared" si="10"/>
        <v>0.91267299999999996</v>
      </c>
      <c r="Z9" s="3">
        <f t="shared" si="11"/>
        <v>1.074180440773165</v>
      </c>
    </row>
    <row r="10" spans="1:26" ht="14.25" customHeight="1">
      <c r="A10" s="6" t="s">
        <v>24</v>
      </c>
      <c r="B10" s="15">
        <v>9.9499999999999993</v>
      </c>
      <c r="C10" s="16">
        <f>B10</f>
        <v>9.9499999999999993</v>
      </c>
      <c r="D10" s="2">
        <v>2026</v>
      </c>
      <c r="E10" s="3">
        <f>G10</f>
        <v>19008.000000000004</v>
      </c>
      <c r="F10" s="3">
        <f t="shared" si="3"/>
        <v>4963.2000000000007</v>
      </c>
      <c r="G10" s="3">
        <f t="shared" si="20"/>
        <v>19008.000000000004</v>
      </c>
      <c r="H10" s="3">
        <f t="shared" si="12"/>
        <v>5056128.0000000019</v>
      </c>
      <c r="I10" s="3">
        <f t="shared" si="0"/>
        <v>1217865.3696000001</v>
      </c>
      <c r="J10" s="3">
        <f t="shared" si="13"/>
        <v>-903676.80000000028</v>
      </c>
      <c r="K10" s="3">
        <f t="shared" si="1"/>
        <v>314188.56959999981</v>
      </c>
      <c r="L10" s="4">
        <f t="shared" si="14"/>
        <v>3413667.0323884403</v>
      </c>
      <c r="M10" s="33">
        <f t="shared" si="15"/>
        <v>11697867.165616401</v>
      </c>
      <c r="N10" s="4">
        <f t="shared" si="4"/>
        <v>2209895.0845400002</v>
      </c>
      <c r="O10" s="4">
        <f t="shared" si="16"/>
        <v>8083259.7245399999</v>
      </c>
      <c r="P10" s="12">
        <f t="shared" si="5"/>
        <v>7.4</v>
      </c>
      <c r="Q10" s="12">
        <f t="shared" si="2"/>
        <v>14.8</v>
      </c>
      <c r="R10" s="18">
        <f t="shared" si="6"/>
        <v>0.25686486486486487</v>
      </c>
      <c r="S10" s="29">
        <f t="shared" si="17"/>
        <v>9818.7069200000005</v>
      </c>
      <c r="T10" s="30">
        <f t="shared" si="7"/>
        <v>4780836.8518752847</v>
      </c>
      <c r="U10" s="18">
        <f t="shared" si="8"/>
        <v>0.47379225567567557</v>
      </c>
      <c r="V10" s="2">
        <f t="shared" si="9"/>
        <v>5.0624999999999997E-4</v>
      </c>
      <c r="W10" s="3">
        <f t="shared" si="18"/>
        <v>35060.626919999995</v>
      </c>
      <c r="X10" s="3">
        <f t="shared" si="19"/>
        <v>486.91104549999994</v>
      </c>
      <c r="Y10" s="2">
        <f t="shared" si="10"/>
        <v>0.88529280999999993</v>
      </c>
      <c r="Z10" s="3">
        <f t="shared" si="11"/>
        <v>6.5718320732228968</v>
      </c>
    </row>
    <row r="11" spans="1:26">
      <c r="A11" s="6" t="s">
        <v>21</v>
      </c>
      <c r="B11" s="15"/>
      <c r="C11" s="13">
        <f>C25*12*C3/C16</f>
        <v>696</v>
      </c>
      <c r="D11" s="2">
        <v>2027</v>
      </c>
      <c r="E11" s="3">
        <f>G11-IF($C$3=5,G6,0)</f>
        <v>24552.000000000004</v>
      </c>
      <c r="F11" s="3">
        <f t="shared" si="3"/>
        <v>5544.0000000000009</v>
      </c>
      <c r="G11" s="3">
        <f t="shared" si="20"/>
        <v>24552.000000000004</v>
      </c>
      <c r="H11" s="3">
        <f t="shared" si="12"/>
        <v>7930296.0000000009</v>
      </c>
      <c r="I11" s="3">
        <f t="shared" si="0"/>
        <v>1677144.6648000001</v>
      </c>
      <c r="J11" s="3">
        <f t="shared" si="13"/>
        <v>-1019256.0000000003</v>
      </c>
      <c r="K11" s="3">
        <f t="shared" si="1"/>
        <v>657888.66479999979</v>
      </c>
      <c r="L11" s="4">
        <f t="shared" si="14"/>
        <v>3554143.0838365653</v>
      </c>
      <c r="M11" s="33">
        <f t="shared" si="15"/>
        <v>15252010.249452965</v>
      </c>
      <c r="N11" s="4">
        <f t="shared" si="4"/>
        <v>2299697.1753261937</v>
      </c>
      <c r="O11" s="4">
        <f t="shared" si="16"/>
        <v>10382956.899866194</v>
      </c>
      <c r="P11" s="12">
        <f t="shared" si="5"/>
        <v>9.1750000000000007</v>
      </c>
      <c r="Q11" s="12">
        <f t="shared" si="2"/>
        <v>18.350000000000001</v>
      </c>
      <c r="R11" s="18">
        <f t="shared" si="6"/>
        <v>0.26759673024523162</v>
      </c>
      <c r="S11" s="29">
        <f t="shared" si="17"/>
        <v>9838.5898015130006</v>
      </c>
      <c r="T11" s="30">
        <f t="shared" si="7"/>
        <v>4646802.5051053222</v>
      </c>
      <c r="U11" s="18">
        <f t="shared" si="8"/>
        <v>0.48936475990749856</v>
      </c>
      <c r="V11" s="2">
        <f t="shared" si="9"/>
        <v>7.5937499999999996E-5</v>
      </c>
      <c r="W11" s="3">
        <f t="shared" si="18"/>
        <v>44899.216721512996</v>
      </c>
      <c r="X11" s="3">
        <f t="shared" si="19"/>
        <v>472.30371413499995</v>
      </c>
      <c r="Y11" s="2">
        <f t="shared" si="10"/>
        <v>0.8587340256999999</v>
      </c>
      <c r="Z11" s="3">
        <f t="shared" si="11"/>
        <v>14.157878758074924</v>
      </c>
    </row>
    <row r="12" spans="1:26">
      <c r="A12" s="6" t="s">
        <v>11</v>
      </c>
      <c r="B12" s="15">
        <v>2</v>
      </c>
      <c r="C12" s="10">
        <f>B12</f>
        <v>2</v>
      </c>
      <c r="D12" s="2">
        <v>2028</v>
      </c>
      <c r="E12" s="3">
        <f>G12-IF($C$3=5,G7,IF($C$3=6,G6,0))</f>
        <v>30676.800000000003</v>
      </c>
      <c r="F12" s="3">
        <f t="shared" si="3"/>
        <v>6124.8000000000011</v>
      </c>
      <c r="G12" s="3">
        <f t="shared" si="20"/>
        <v>30676.800000000003</v>
      </c>
      <c r="H12" s="3">
        <f t="shared" si="12"/>
        <v>11657184</v>
      </c>
      <c r="I12" s="3">
        <f t="shared" si="0"/>
        <v>2225558.8924799999</v>
      </c>
      <c r="J12" s="3">
        <f t="shared" si="13"/>
        <v>-1134835.2000000004</v>
      </c>
      <c r="K12" s="3">
        <f t="shared" si="1"/>
        <v>1090723.6924799995</v>
      </c>
      <c r="L12" s="4">
        <f t="shared" si="14"/>
        <v>3751659.133952524</v>
      </c>
      <c r="M12" s="33">
        <f t="shared" si="15"/>
        <v>19003669.383405488</v>
      </c>
      <c r="N12" s="4">
        <f t="shared" si="4"/>
        <v>2386973.5518381991</v>
      </c>
      <c r="O12" s="4">
        <f t="shared" si="16"/>
        <v>12769930.451704392</v>
      </c>
      <c r="P12" s="12">
        <f t="shared" si="5"/>
        <v>10.950000000000001</v>
      </c>
      <c r="Q12" s="12">
        <f t="shared" si="2"/>
        <v>21.900000000000002</v>
      </c>
      <c r="R12" s="18">
        <f t="shared" si="6"/>
        <v>0.28015342465753423</v>
      </c>
      <c r="S12" s="29">
        <f t="shared" si="17"/>
        <v>9841.5782731652107</v>
      </c>
      <c r="T12" s="30">
        <f t="shared" si="7"/>
        <v>4508767.5522252601</v>
      </c>
      <c r="U12" s="18">
        <f t="shared" si="8"/>
        <v>0.49991593602445844</v>
      </c>
      <c r="V12" s="2">
        <f t="shared" si="9"/>
        <v>1.1390624999999999E-5</v>
      </c>
      <c r="W12" s="3">
        <f t="shared" si="18"/>
        <v>54740.794994678203</v>
      </c>
      <c r="X12" s="3">
        <f t="shared" si="19"/>
        <v>458.13460271094993</v>
      </c>
      <c r="Y12" s="2">
        <f t="shared" si="10"/>
        <v>0.83297200492899992</v>
      </c>
      <c r="Z12" s="3">
        <f t="shared" si="11"/>
        <v>24.191171530714264</v>
      </c>
    </row>
    <row r="13" spans="1:26">
      <c r="A13" s="6" t="s">
        <v>23</v>
      </c>
      <c r="B13" s="15"/>
      <c r="C13" s="12">
        <f>C12*C16/100</f>
        <v>1</v>
      </c>
      <c r="D13" s="2">
        <v>2029</v>
      </c>
      <c r="E13" s="3">
        <f>G13-IF($C$3=5,G8,IF($C$3=6,G7,IF($C$3=7,G6,0)))</f>
        <v>37382.400000000001</v>
      </c>
      <c r="F13" s="3">
        <f t="shared" si="3"/>
        <v>6705.6000000000013</v>
      </c>
      <c r="G13" s="3">
        <f>G12+F13</f>
        <v>37382.400000000001</v>
      </c>
      <c r="H13" s="3">
        <f t="shared" si="12"/>
        <v>16336108.800000003</v>
      </c>
      <c r="I13" s="3">
        <f t="shared" si="0"/>
        <v>2870493.5635200003</v>
      </c>
      <c r="J13" s="3">
        <f t="shared" si="13"/>
        <v>-1250414.4000000004</v>
      </c>
      <c r="K13" s="3">
        <f t="shared" si="1"/>
        <v>1620079.1635199999</v>
      </c>
      <c r="L13" s="4">
        <f t="shared" si="14"/>
        <v>4015834.5811755639</v>
      </c>
      <c r="M13" s="33">
        <f t="shared" si="15"/>
        <v>23019503.96458105</v>
      </c>
      <c r="N13" s="4">
        <f t="shared" si="4"/>
        <v>2473870.1886712546</v>
      </c>
      <c r="O13" s="4">
        <f>N13+O12</f>
        <v>15243800.640375648</v>
      </c>
      <c r="P13" s="12">
        <f t="shared" si="5"/>
        <v>12.725000000000001</v>
      </c>
      <c r="Q13" s="12">
        <f t="shared" si="2"/>
        <v>25.450000000000003</v>
      </c>
      <c r="R13" s="18">
        <f t="shared" si="6"/>
        <v>0.29377131630648329</v>
      </c>
      <c r="S13" s="29">
        <f t="shared" si="17"/>
        <v>9842.0266800752815</v>
      </c>
      <c r="T13" s="30">
        <f t="shared" si="7"/>
        <v>4373703.7934584534</v>
      </c>
      <c r="U13" s="18">
        <f t="shared" si="8"/>
        <v>0.50752708585267958</v>
      </c>
      <c r="V13" s="2">
        <f t="shared" si="9"/>
        <v>1.7085937499999998E-6</v>
      </c>
      <c r="W13" s="3">
        <f t="shared" si="18"/>
        <v>64582.821674753483</v>
      </c>
      <c r="X13" s="3">
        <f t="shared" si="19"/>
        <v>444.39056462962145</v>
      </c>
      <c r="Y13" s="2">
        <f t="shared" si="10"/>
        <v>0.80798284478112992</v>
      </c>
      <c r="Z13" s="3">
        <f t="shared" si="11"/>
        <v>37.041355336936107</v>
      </c>
    </row>
    <row r="14" spans="1:26">
      <c r="A14" s="6" t="s">
        <v>2</v>
      </c>
      <c r="B14" s="15">
        <v>19</v>
      </c>
      <c r="C14" s="10">
        <f>B14</f>
        <v>19</v>
      </c>
      <c r="D14" s="2">
        <v>2030</v>
      </c>
      <c r="E14" s="3">
        <f>G14-IF($C$3=5,G9,IF($C$3=6,G8,IF($C$3=7,G7,IF($C$3=8,G6,0))))</f>
        <v>44668.800000000003</v>
      </c>
      <c r="F14" s="3">
        <f t="shared" si="3"/>
        <v>7286.4000000000015</v>
      </c>
      <c r="G14" s="3">
        <f t="shared" si="20"/>
        <v>44668.800000000003</v>
      </c>
      <c r="H14" s="3">
        <f t="shared" si="12"/>
        <v>22066387.199999999</v>
      </c>
      <c r="I14" s="3">
        <f t="shared" si="0"/>
        <v>3619334.1888000001</v>
      </c>
      <c r="J14" s="3">
        <f t="shared" si="13"/>
        <v>-1365993.6000000003</v>
      </c>
      <c r="K14" s="3">
        <f t="shared" si="1"/>
        <v>2253340.5888</v>
      </c>
      <c r="L14" s="4">
        <f t="shared" si="14"/>
        <v>4352227.7163712066</v>
      </c>
      <c r="M14" s="33">
        <f t="shared" si="15"/>
        <v>27371731.680952258</v>
      </c>
      <c r="N14" s="4">
        <f t="shared" si="4"/>
        <v>2560709.8446543678</v>
      </c>
      <c r="O14" s="4">
        <f t="shared" si="16"/>
        <v>17804510.485030014</v>
      </c>
      <c r="P14" s="12">
        <f t="shared" si="5"/>
        <v>14.500000000000002</v>
      </c>
      <c r="Q14" s="12">
        <f>P14/0.5</f>
        <v>29.000000000000004</v>
      </c>
      <c r="R14" s="18">
        <f t="shared" si="6"/>
        <v>0.30806068965517241</v>
      </c>
      <c r="S14" s="29">
        <f t="shared" si="17"/>
        <v>9842.093944176373</v>
      </c>
      <c r="T14" s="30">
        <f t="shared" si="7"/>
        <v>4242521.6744406074</v>
      </c>
      <c r="U14" s="18">
        <f t="shared" si="8"/>
        <v>0.51327528013055068</v>
      </c>
      <c r="V14" s="2">
        <f t="shared" si="9"/>
        <v>2.5628906249999996E-7</v>
      </c>
      <c r="W14" s="3">
        <f t="shared" si="18"/>
        <v>74424.915618929852</v>
      </c>
      <c r="X14" s="3">
        <f t="shared" si="19"/>
        <v>431.05884769073282</v>
      </c>
      <c r="Y14" s="2">
        <f t="shared" si="10"/>
        <v>0.78374335943769602</v>
      </c>
      <c r="Z14" s="3">
        <f t="shared" si="11"/>
        <v>53.113236931125677</v>
      </c>
    </row>
    <row r="15" spans="1:26" ht="17.25" customHeight="1">
      <c r="A15" s="6" t="s">
        <v>3</v>
      </c>
      <c r="B15" s="15">
        <v>10000</v>
      </c>
      <c r="C15" s="10">
        <f>B15</f>
        <v>10000</v>
      </c>
      <c r="D15" s="2">
        <v>2031</v>
      </c>
      <c r="E15" s="3">
        <f>G15-IF($C$3=5,G10,IF($C$3=6,G9,IF($C$3=7,G8,IF($C$3=8,G7,IF($C$3=9,G6,0)))))</f>
        <v>52536.000000000007</v>
      </c>
      <c r="F15" s="3">
        <f t="shared" si="3"/>
        <v>7867.2000000000016</v>
      </c>
      <c r="G15" s="3">
        <f t="shared" ref="G15:G24" si="21">G14+F15</f>
        <v>52536.000000000007</v>
      </c>
      <c r="H15" s="3">
        <f t="shared" si="12"/>
        <v>28947336.000000004</v>
      </c>
      <c r="I15" s="3">
        <f t="shared" si="0"/>
        <v>4479466.2792000007</v>
      </c>
      <c r="J15" s="3">
        <f t="shared" si="13"/>
        <v>-1481572.8000000003</v>
      </c>
      <c r="K15" s="3">
        <f t="shared" si="1"/>
        <v>2997893.4792000004</v>
      </c>
      <c r="L15" s="4">
        <f t="shared" si="14"/>
        <v>4765806.2938589724</v>
      </c>
      <c r="M15" s="33">
        <f t="shared" si="15"/>
        <v>32137537.97481123</v>
      </c>
      <c r="N15" s="4">
        <f t="shared" si="4"/>
        <v>2647540.9530621441</v>
      </c>
      <c r="O15" s="4">
        <f t="shared" ref="O15:O24" si="22">N15+O14</f>
        <v>20452051.438092157</v>
      </c>
      <c r="P15" s="12">
        <f t="shared" si="5"/>
        <v>16.275000000000002</v>
      </c>
      <c r="Q15" s="12">
        <f t="shared" ref="Q15:Q34" si="23">P15/0.5</f>
        <v>32.550000000000004</v>
      </c>
      <c r="R15" s="18">
        <f t="shared" ref="R15:R24" si="24">G15/10000/P15</f>
        <v>0.32280184331797235</v>
      </c>
      <c r="S15" s="29">
        <f t="shared" si="17"/>
        <v>9842.1040338604926</v>
      </c>
      <c r="T15" s="30">
        <f t="shared" si="7"/>
        <v>4115250.2429775703</v>
      </c>
      <c r="U15" s="18">
        <f t="shared" si="8"/>
        <v>0.51776970600792838</v>
      </c>
      <c r="V15" s="2">
        <f t="shared" si="9"/>
        <v>3.8443359374999996E-8</v>
      </c>
      <c r="W15" s="3">
        <f t="shared" si="18"/>
        <v>84267.019652790346</v>
      </c>
      <c r="X15" s="3">
        <f t="shared" si="19"/>
        <v>418.12708226001081</v>
      </c>
      <c r="Y15" s="2">
        <f t="shared" si="10"/>
        <v>0.76023105865456508</v>
      </c>
      <c r="Z15" s="3">
        <f t="shared" si="11"/>
        <v>72.848388365099481</v>
      </c>
    </row>
    <row r="16" spans="1:26" ht="16.5" customHeight="1">
      <c r="A16" s="6" t="s">
        <v>1</v>
      </c>
      <c r="B16" s="20">
        <v>50</v>
      </c>
      <c r="C16" s="19">
        <f>B16</f>
        <v>50</v>
      </c>
      <c r="D16" s="2">
        <v>2032</v>
      </c>
      <c r="E16" s="3">
        <f>G16-IF($C$3=5,G11,IF($C$3=6,G10,IF($C$3=7,G9,IF($C$3=8,G8,IF($C$3=9,G7,IF($C$3=10,G6,0))))))</f>
        <v>60984.000000000007</v>
      </c>
      <c r="F16" s="3">
        <f t="shared" si="3"/>
        <v>8448.0000000000018</v>
      </c>
      <c r="G16" s="3">
        <f t="shared" si="21"/>
        <v>60984.000000000007</v>
      </c>
      <c r="H16" s="3">
        <f t="shared" si="12"/>
        <v>37078272.000000007</v>
      </c>
      <c r="I16" s="3">
        <f t="shared" si="0"/>
        <v>5458275.3455999997</v>
      </c>
      <c r="J16" s="3">
        <f t="shared" si="13"/>
        <v>-1597152.0000000002</v>
      </c>
      <c r="K16" s="3">
        <f t="shared" si="1"/>
        <v>3861123.3455999997</v>
      </c>
      <c r="L16" s="4">
        <f t="shared" si="14"/>
        <v>5261454.1857303558</v>
      </c>
      <c r="M16" s="33">
        <f t="shared" si="15"/>
        <v>37398992.160541587</v>
      </c>
      <c r="N16" s="4">
        <f t="shared" si="4"/>
        <v>2734370.779323542</v>
      </c>
      <c r="O16" s="4">
        <f t="shared" si="22"/>
        <v>23186422.217415698</v>
      </c>
      <c r="P16" s="12">
        <f t="shared" si="5"/>
        <v>18.05</v>
      </c>
      <c r="Q16" s="12">
        <f t="shared" si="23"/>
        <v>36.1</v>
      </c>
      <c r="R16" s="18">
        <f t="shared" si="24"/>
        <v>0.33786149584487535</v>
      </c>
      <c r="S16" s="29">
        <f t="shared" si="17"/>
        <v>9842.1055473146625</v>
      </c>
      <c r="T16" s="30">
        <f t="shared" si="7"/>
        <v>3991793.349519934</v>
      </c>
      <c r="U16" s="18">
        <f t="shared" si="8"/>
        <v>0.52138019501443222</v>
      </c>
      <c r="V16" s="2">
        <f t="shared" si="9"/>
        <v>5.7665039062499992E-9</v>
      </c>
      <c r="W16" s="3">
        <f t="shared" si="18"/>
        <v>94109.125200105016</v>
      </c>
      <c r="X16" s="3">
        <f t="shared" si="19"/>
        <v>405.58326979221044</v>
      </c>
      <c r="Y16" s="2">
        <f t="shared" si="10"/>
        <v>0.73742412689492809</v>
      </c>
      <c r="Z16" s="3">
        <f t="shared" si="11"/>
        <v>96.726533853871743</v>
      </c>
    </row>
    <row r="17" spans="1:26" ht="13.5" customHeight="1">
      <c r="A17" s="42" t="s">
        <v>30</v>
      </c>
      <c r="B17" s="42"/>
      <c r="C17" s="3">
        <f>C16*C12/10000*C14*C15/12</f>
        <v>158.33333333333334</v>
      </c>
      <c r="D17" s="2">
        <v>2033</v>
      </c>
      <c r="E17" s="3">
        <f>G17-IF($C$3=5,G12,IF($C$3=6,G11,IF($C$3=7,G11,IF($C$3=8,G11,IF($C$3=9,G11,IF($C$3=10,G11,IF($C$3=11,G11,IF($C$3=12,G11,IF($C$3=13,G21,IF($C$3=14,G11,IF($C$3=15,G11,0)))))))))))</f>
        <v>45460.800000000003</v>
      </c>
      <c r="F17" s="3">
        <f t="shared" si="3"/>
        <v>9028.8000000000011</v>
      </c>
      <c r="G17" s="3">
        <f t="shared" si="21"/>
        <v>70012.800000000003</v>
      </c>
      <c r="H17" s="3">
        <f t="shared" si="12"/>
        <v>46558512</v>
      </c>
      <c r="I17" s="3">
        <f t="shared" si="0"/>
        <v>6468212.4988799999</v>
      </c>
      <c r="J17" s="3">
        <f t="shared" si="13"/>
        <v>-1712731.2000000002</v>
      </c>
      <c r="K17" s="3">
        <f t="shared" si="1"/>
        <v>4755481.2988799997</v>
      </c>
      <c r="L17" s="4">
        <f t="shared" si="14"/>
        <v>5780439.0279419972</v>
      </c>
      <c r="M17" s="33">
        <f t="shared" si="15"/>
        <v>43179431.188483581</v>
      </c>
      <c r="N17" s="4">
        <f t="shared" si="4"/>
        <v>2821200.413262757</v>
      </c>
      <c r="O17" s="4">
        <f t="shared" si="22"/>
        <v>26007622.630678456</v>
      </c>
      <c r="P17" s="12">
        <f t="shared" si="5"/>
        <v>19.824999999999999</v>
      </c>
      <c r="Q17" s="12">
        <f t="shared" si="23"/>
        <v>39.65</v>
      </c>
      <c r="R17" s="18">
        <f t="shared" si="24"/>
        <v>0.35315409836065575</v>
      </c>
      <c r="S17" s="29">
        <f t="shared" si="17"/>
        <v>9842.1057743328238</v>
      </c>
      <c r="T17" s="30">
        <f t="shared" si="7"/>
        <v>3872039.6383468611</v>
      </c>
      <c r="U17" s="18">
        <f t="shared" si="8"/>
        <v>0.52434416632755532</v>
      </c>
      <c r="V17" s="2">
        <f t="shared" si="9"/>
        <v>8.6497558593749985E-10</v>
      </c>
      <c r="W17" s="3">
        <f t="shared" si="18"/>
        <v>103951.23097443784</v>
      </c>
      <c r="X17" s="3">
        <f t="shared" si="19"/>
        <v>393.41577169844413</v>
      </c>
      <c r="Y17" s="2">
        <f t="shared" si="10"/>
        <v>0.71530140308808021</v>
      </c>
      <c r="Z17" s="3">
        <f t="shared" si="11"/>
        <v>122.81592501750104</v>
      </c>
    </row>
    <row r="18" spans="1:26" ht="15.75">
      <c r="A18" s="27" t="s">
        <v>41</v>
      </c>
      <c r="B18" s="6"/>
      <c r="C18" s="3">
        <f>C16</f>
        <v>50</v>
      </c>
      <c r="D18" s="2">
        <v>2034</v>
      </c>
      <c r="E18" s="3">
        <f>G18-IF($C$3=5,G13,IF($C$3=6,G12,IF($C$3=7,G12,IF($C$3=8,G12,IF($C$3=9,G12,IF($C$3=10,G12,IF($C$3=11,G12,IF($C$3=12,G12,IF($C$3=13,G22,IF($C$3=14,G12,IF($C$3=15,G12,0)))))))))))</f>
        <v>48945.600000000006</v>
      </c>
      <c r="F18" s="3">
        <f t="shared" si="3"/>
        <v>9609.6</v>
      </c>
      <c r="G18" s="3">
        <f t="shared" si="21"/>
        <v>79622.400000000009</v>
      </c>
      <c r="H18" s="3">
        <f t="shared" si="12"/>
        <v>57487372.800000004</v>
      </c>
      <c r="I18" s="3">
        <f t="shared" si="0"/>
        <v>7682849.4899200005</v>
      </c>
      <c r="J18" s="3">
        <f t="shared" si="13"/>
        <v>-1828310.4000000001</v>
      </c>
      <c r="K18" s="3">
        <f t="shared" si="1"/>
        <v>5854539.0899200002</v>
      </c>
      <c r="L18" s="4">
        <f t="shared" si="14"/>
        <v>6438979.7599146571</v>
      </c>
      <c r="M18" s="33">
        <f t="shared" si="15"/>
        <v>49618410.94839824</v>
      </c>
      <c r="N18" s="4">
        <f t="shared" si="4"/>
        <v>2908030.0183536396</v>
      </c>
      <c r="O18" s="4">
        <f t="shared" si="22"/>
        <v>28915652.649032097</v>
      </c>
      <c r="P18" s="12">
        <f t="shared" si="5"/>
        <v>21.599999999999998</v>
      </c>
      <c r="Q18" s="12">
        <f t="shared" si="23"/>
        <v>43.199999999999996</v>
      </c>
      <c r="R18" s="18">
        <f t="shared" si="24"/>
        <v>0.3686222222222223</v>
      </c>
      <c r="S18" s="29">
        <f t="shared" si="17"/>
        <v>9842.1058083855478</v>
      </c>
      <c r="T18" s="30">
        <f t="shared" si="7"/>
        <v>3755878.4621914271</v>
      </c>
      <c r="U18" s="18">
        <f t="shared" si="8"/>
        <v>0.52682100362418249</v>
      </c>
      <c r="V18" s="2">
        <f t="shared" si="9"/>
        <v>1.2974633789062497E-10</v>
      </c>
      <c r="W18" s="3">
        <f t="shared" si="18"/>
        <v>113793.33678282339</v>
      </c>
      <c r="X18" s="3">
        <f t="shared" si="19"/>
        <v>381.61329854749079</v>
      </c>
      <c r="Y18" s="2">
        <f t="shared" si="10"/>
        <v>0.69384236099543783</v>
      </c>
      <c r="Z18" s="3">
        <f t="shared" si="11"/>
        <v>155.87669166760193</v>
      </c>
    </row>
    <row r="19" spans="1:26">
      <c r="A19" s="6" t="s">
        <v>34</v>
      </c>
      <c r="B19" s="6"/>
      <c r="C19" s="25">
        <f>C10*C13</f>
        <v>9.9499999999999993</v>
      </c>
      <c r="D19" s="2">
        <v>2035</v>
      </c>
      <c r="E19" s="3">
        <f>G19-IF($C$3=5,G14,IF($C$3=6,G13,IF($C$3=7,G12,IF($C$3=8,G11,IF($C$3=9,G10,IF($C$3=10,G9,IF($C$3=11,G8,IF($C$3=12,G7,IF($C$3=13,G6,0)))))))))</f>
        <v>89812.800000000003</v>
      </c>
      <c r="F19" s="3">
        <f t="shared" si="3"/>
        <v>10190.4</v>
      </c>
      <c r="G19" s="3">
        <f t="shared" si="21"/>
        <v>89812.800000000003</v>
      </c>
      <c r="H19" s="3">
        <f t="shared" si="12"/>
        <v>69964171.200000003</v>
      </c>
      <c r="I19" s="3">
        <f t="shared" si="0"/>
        <v>9180619.5095999986</v>
      </c>
      <c r="J19" s="3">
        <f t="shared" si="13"/>
        <v>-1943889.6</v>
      </c>
      <c r="K19" s="3">
        <f t="shared" si="1"/>
        <v>7236729.909599999</v>
      </c>
      <c r="L19" s="4">
        <f t="shared" si="14"/>
        <v>7289554.4532770235</v>
      </c>
      <c r="M19" s="33">
        <f t="shared" si="15"/>
        <v>56907965.401675262</v>
      </c>
      <c r="N19" s="4">
        <f t="shared" si="4"/>
        <v>2994859.6191172721</v>
      </c>
      <c r="O19" s="4">
        <f t="shared" si="22"/>
        <v>31910512.268149368</v>
      </c>
      <c r="P19" s="12">
        <f t="shared" si="5"/>
        <v>23.374999999999996</v>
      </c>
      <c r="Q19" s="12">
        <f t="shared" si="23"/>
        <v>46.749999999999993</v>
      </c>
      <c r="R19" s="18">
        <f t="shared" si="24"/>
        <v>0.38422588235294125</v>
      </c>
      <c r="S19" s="29">
        <f t="shared" si="17"/>
        <v>9842.1058134934574</v>
      </c>
      <c r="T19" s="30">
        <f t="shared" si="7"/>
        <v>3643202.1102164537</v>
      </c>
      <c r="U19" s="18">
        <f t="shared" si="8"/>
        <v>0.52892167955643576</v>
      </c>
      <c r="V19" s="2">
        <f t="shared" si="9"/>
        <v>1.9461950683593743E-11</v>
      </c>
      <c r="W19" s="3">
        <f t="shared" si="18"/>
        <v>123635.44259631685</v>
      </c>
      <c r="X19" s="3">
        <f t="shared" si="19"/>
        <v>370.1648995910661</v>
      </c>
      <c r="Y19" s="2">
        <f t="shared" si="10"/>
        <v>0.67302709016557472</v>
      </c>
      <c r="Z19" s="3">
        <f t="shared" si="11"/>
        <v>198.636520584636</v>
      </c>
    </row>
    <row r="20" spans="1:26" ht="15.75" customHeight="1">
      <c r="A20" s="6" t="s">
        <v>22</v>
      </c>
      <c r="B20" s="6"/>
      <c r="C20" s="25">
        <f>C11*C16</f>
        <v>34800</v>
      </c>
      <c r="D20" s="2">
        <v>2036</v>
      </c>
      <c r="E20" s="3">
        <f>G20-IF($C$3=5,G15,IF($C$3=6,G14,IF($C$3=7,G13,IF($C$3=8,G12,IF($C$3=9,G11,IF($C$3=10,G10,IF($C$3=11,G9,IF($C$3=12,G8,IF($C$3=13,G7,IF($C$3=14,G6,0))))))))))</f>
        <v>100584</v>
      </c>
      <c r="F20" s="3">
        <f t="shared" si="3"/>
        <v>10771.199999999999</v>
      </c>
      <c r="G20" s="3">
        <f t="shared" si="21"/>
        <v>100584</v>
      </c>
      <c r="H20" s="3">
        <f t="shared" si="12"/>
        <v>84088223.999999985</v>
      </c>
      <c r="I20" s="3">
        <f t="shared" si="0"/>
        <v>10707991.588799998</v>
      </c>
      <c r="J20" s="3">
        <f t="shared" si="13"/>
        <v>-2059468.8</v>
      </c>
      <c r="K20" s="3">
        <f t="shared" si="1"/>
        <v>8648522.7887999974</v>
      </c>
      <c r="L20" s="4">
        <f t="shared" si="14"/>
        <v>8162227.3201099932</v>
      </c>
      <c r="M20" s="33">
        <f t="shared" si="15"/>
        <v>65070192.721785255</v>
      </c>
      <c r="N20" s="4">
        <f t="shared" si="4"/>
        <v>3081689.2192318165</v>
      </c>
      <c r="O20" s="4">
        <f t="shared" si="22"/>
        <v>34992201.487381183</v>
      </c>
      <c r="P20" s="12">
        <f t="shared" si="5"/>
        <v>25.149999999999995</v>
      </c>
      <c r="Q20" s="12">
        <f t="shared" si="23"/>
        <v>50.29999999999999</v>
      </c>
      <c r="R20" s="18">
        <f t="shared" si="24"/>
        <v>0.39993638170974166</v>
      </c>
      <c r="S20" s="29">
        <f t="shared" si="17"/>
        <v>9842.105814259643</v>
      </c>
      <c r="T20" s="30">
        <f t="shared" si="7"/>
        <v>3533906.0471850666</v>
      </c>
      <c r="U20" s="18">
        <f t="shared" si="8"/>
        <v>0.53072583861064215</v>
      </c>
      <c r="V20" s="2">
        <f t="shared" si="9"/>
        <v>2.9192926025390612E-12</v>
      </c>
      <c r="W20" s="3">
        <f t="shared" si="18"/>
        <v>133477.54841057648</v>
      </c>
      <c r="X20" s="3">
        <f t="shared" si="19"/>
        <v>359.05995260333412</v>
      </c>
      <c r="Y20" s="2">
        <f t="shared" si="10"/>
        <v>0.65283627746060746</v>
      </c>
      <c r="Z20" s="3">
        <f t="shared" si="11"/>
        <v>244.72984491732541</v>
      </c>
    </row>
    <row r="21" spans="1:26">
      <c r="A21" s="6" t="s">
        <v>29</v>
      </c>
      <c r="B21" s="6"/>
      <c r="C21" s="13">
        <f>C16*C4-IF(C16-10&gt;0,(C16-10)*(C4-C5),0)-IF(C16-40&gt;0,(C16-40)*(C5-C6),0)</f>
        <v>9950</v>
      </c>
      <c r="D21" s="2">
        <v>2037</v>
      </c>
      <c r="E21" s="3">
        <f>G21-IF($C$3=5,G16,IF($C$3=6,G15,IF($C$3=7,G14,IF($C$3=8,G13,IF($C$3=9,G12,IF($C$3=10,G11,IF($C$3=11,G10,IF($C$3=12,G9,IF($C$3=13,G8,IF($C$3=14,G7,IF($C$3=15,G6,0)))))))))))</f>
        <v>109296</v>
      </c>
      <c r="F21" s="3">
        <f t="shared" si="3"/>
        <v>11351.999999999998</v>
      </c>
      <c r="G21" s="3">
        <f t="shared" si="21"/>
        <v>111936</v>
      </c>
      <c r="H21" s="3">
        <f t="shared" si="12"/>
        <v>99958848</v>
      </c>
      <c r="I21" s="3">
        <f t="shared" si="0"/>
        <v>12380760.198399998</v>
      </c>
      <c r="J21" s="3">
        <f t="shared" si="13"/>
        <v>-2175048</v>
      </c>
      <c r="K21" s="3">
        <f t="shared" si="1"/>
        <v>10205712.198399998</v>
      </c>
      <c r="L21" s="4">
        <f t="shared" si="14"/>
        <v>9134512.7130203918</v>
      </c>
      <c r="M21" s="33">
        <f t="shared" si="15"/>
        <v>74204705.434805647</v>
      </c>
      <c r="N21" s="4">
        <f t="shared" si="4"/>
        <v>3168518.8192489981</v>
      </c>
      <c r="O21" s="4">
        <f t="shared" si="22"/>
        <v>38160720.306630179</v>
      </c>
      <c r="P21" s="12">
        <f t="shared" si="5"/>
        <v>26.924999999999994</v>
      </c>
      <c r="Q21" s="12">
        <f t="shared" si="23"/>
        <v>53.849999999999987</v>
      </c>
      <c r="R21" s="18">
        <f t="shared" si="24"/>
        <v>0.41573259052924799</v>
      </c>
      <c r="S21" s="29">
        <f t="shared" si="17"/>
        <v>9842.1058143745704</v>
      </c>
      <c r="T21" s="30">
        <f t="shared" si="7"/>
        <v>3427888.8658095421</v>
      </c>
      <c r="U21" s="18">
        <f t="shared" si="8"/>
        <v>0.53229212339814702</v>
      </c>
      <c r="V21" s="2">
        <f t="shared" si="9"/>
        <v>4.3789389038085918E-13</v>
      </c>
      <c r="W21" s="3">
        <f t="shared" si="18"/>
        <v>143319.65422495105</v>
      </c>
      <c r="X21" s="3">
        <f t="shared" si="19"/>
        <v>348.28815402523406</v>
      </c>
      <c r="Y21" s="2">
        <f t="shared" si="10"/>
        <v>0.63325118913678924</v>
      </c>
      <c r="Z21" s="3">
        <f t="shared" si="11"/>
        <v>297.72587729415147</v>
      </c>
    </row>
    <row r="22" spans="1:26" ht="13.5" customHeight="1">
      <c r="A22" s="6" t="s">
        <v>36</v>
      </c>
      <c r="C22" s="22">
        <f>C17*B23/100/C13</f>
        <v>38</v>
      </c>
      <c r="D22" s="2">
        <v>2038</v>
      </c>
      <c r="E22" s="3">
        <f>G22-IF($C$3=5,G17,IF($C$3=6,G16,IF($C$3=7,G15,IF($C$3=8,G14,IF($C$3=9,G13,IF($C$3=10,G12,IF($C$3=11,G11,IF($C$3=12,G10,IF($C$3=13,G9,IF($C$3=14,G8,IF($C$3=15,G7,0)))))))))))</f>
        <v>118008</v>
      </c>
      <c r="F22" s="3">
        <f t="shared" si="3"/>
        <v>11932.799999999997</v>
      </c>
      <c r="G22" s="3">
        <f t="shared" si="21"/>
        <v>123868.8</v>
      </c>
      <c r="H22" s="3">
        <f t="shared" si="12"/>
        <v>117675360</v>
      </c>
      <c r="I22" s="3">
        <f t="shared" si="0"/>
        <v>14214273.08928</v>
      </c>
      <c r="J22" s="3">
        <f t="shared" si="13"/>
        <v>-2290627.1999999997</v>
      </c>
      <c r="K22" s="3">
        <f t="shared" si="1"/>
        <v>11923645.889280001</v>
      </c>
      <c r="L22" s="4">
        <f t="shared" si="14"/>
        <v>10216627.719711125</v>
      </c>
      <c r="M22" s="33">
        <f t="shared" si="15"/>
        <v>84421333.154516771</v>
      </c>
      <c r="N22" s="4">
        <f t="shared" si="4"/>
        <v>3255348.4192515751</v>
      </c>
      <c r="O22" s="4">
        <f t="shared" si="22"/>
        <v>41416068.725881755</v>
      </c>
      <c r="P22" s="12">
        <f t="shared" si="5"/>
        <v>28.699999999999992</v>
      </c>
      <c r="Q22" s="12">
        <f t="shared" si="23"/>
        <v>57.399999999999984</v>
      </c>
      <c r="R22" s="18">
        <f t="shared" si="24"/>
        <v>0.4315986062717771</v>
      </c>
      <c r="S22" s="29">
        <f t="shared" si="17"/>
        <v>9842.105814391809</v>
      </c>
      <c r="T22" s="30">
        <f t="shared" si="7"/>
        <v>3325052.1998410798</v>
      </c>
      <c r="U22" s="18">
        <f t="shared" si="8"/>
        <v>0.53366466912663035</v>
      </c>
      <c r="V22" s="2">
        <f t="shared" si="9"/>
        <v>6.5684083557128869E-14</v>
      </c>
      <c r="W22" s="3">
        <f t="shared" si="18"/>
        <v>153161.76003934286</v>
      </c>
      <c r="X22" s="3">
        <f t="shared" si="19"/>
        <v>337.83950940447704</v>
      </c>
      <c r="Y22" s="2">
        <f t="shared" si="10"/>
        <v>0.61425365346268557</v>
      </c>
      <c r="Z22" s="3">
        <f t="shared" si="11"/>
        <v>358.60026166957283</v>
      </c>
    </row>
    <row r="23" spans="1:26" ht="29.25" hidden="1" customHeight="1">
      <c r="A23" s="6" t="s">
        <v>35</v>
      </c>
      <c r="B23" s="23">
        <v>24</v>
      </c>
      <c r="D23" s="2">
        <v>2039</v>
      </c>
      <c r="E23" s="3">
        <f>G23-IF($C$3=5,G18,IF($C$3=6,G17,IF($C$3=7,G16,IF($C$3=8,G15,IF($C$3=9,G14,IF($C$3=10,G13,IF($C$3=11,G12,IF($C$3=12,G11,IF($C$3=13,G10,IF($C$3=14,G9,IF($C$3=15,G8,0)))))))))))</f>
        <v>126720</v>
      </c>
      <c r="F23" s="3">
        <f t="shared" si="3"/>
        <v>12513.599999999997</v>
      </c>
      <c r="G23" s="3">
        <f t="shared" si="21"/>
        <v>136382.39999999999</v>
      </c>
      <c r="H23" s="3">
        <f t="shared" si="12"/>
        <v>137337076.79999998</v>
      </c>
      <c r="I23" s="3">
        <f t="shared" si="0"/>
        <v>16215915.772319997</v>
      </c>
      <c r="J23" s="3">
        <f t="shared" si="13"/>
        <v>-2406206.3999999994</v>
      </c>
      <c r="K23" s="3">
        <f t="shared" si="1"/>
        <v>13809709.372319996</v>
      </c>
      <c r="L23" s="4">
        <f t="shared" si="14"/>
        <v>11413456.704131685</v>
      </c>
      <c r="M23" s="33">
        <f t="shared" si="15"/>
        <v>95834789.858648449</v>
      </c>
      <c r="N23" s="4">
        <f t="shared" si="4"/>
        <v>3342178.0192519617</v>
      </c>
      <c r="O23" s="4">
        <f t="shared" si="22"/>
        <v>44758246.74513372</v>
      </c>
      <c r="P23" s="12">
        <f t="shared" si="5"/>
        <v>30.474999999999991</v>
      </c>
      <c r="Q23" s="12">
        <f t="shared" si="23"/>
        <v>60.949999999999982</v>
      </c>
      <c r="R23" s="18">
        <f t="shared" si="24"/>
        <v>0.44752223133716174</v>
      </c>
      <c r="S23" s="29">
        <f t="shared" si="17"/>
        <v>9842.1058143943956</v>
      </c>
      <c r="T23" s="30">
        <f t="shared" si="7"/>
        <v>3225300.6338466955</v>
      </c>
      <c r="U23" s="18">
        <f t="shared" si="8"/>
        <v>0.53487732847821923</v>
      </c>
      <c r="V23" s="2">
        <f t="shared" si="9"/>
        <v>9.8526125335693306E-15</v>
      </c>
      <c r="W23" s="3">
        <f t="shared" si="18"/>
        <v>163003.86585373725</v>
      </c>
      <c r="X23" s="3">
        <f t="shared" si="19"/>
        <v>327.70432412234277</v>
      </c>
      <c r="Y23" s="2">
        <f t="shared" si="10"/>
        <v>0.595826043858805</v>
      </c>
      <c r="Z23" s="3">
        <f t="shared" si="11"/>
        <v>428.16812880632693</v>
      </c>
    </row>
    <row r="24" spans="1:26" ht="13.5" customHeight="1">
      <c r="A24" s="6" t="s">
        <v>39</v>
      </c>
      <c r="B24" s="24"/>
      <c r="C24" s="26">
        <f>C22+C10</f>
        <v>47.95</v>
      </c>
      <c r="D24" s="2">
        <v>2040</v>
      </c>
      <c r="E24" s="3">
        <f t="shared" ref="E24:E33" si="25">G24-IF($C$3=5,G19,IF($C$3=6,G18,IF($C$3=7,G17,IF($C$3=8,G16,IF($C$3=9,G15,IF($C$3=10,G14,IF($C$3=11,G13,IF($C$3=12,G12,IF($C$3=13,G11,IF($C$3=14,G10,IF($C$3=15,G9,0)))))))))))</f>
        <v>135432</v>
      </c>
      <c r="F24" s="3">
        <f t="shared" si="3"/>
        <v>13094.399999999996</v>
      </c>
      <c r="G24" s="3">
        <f t="shared" si="21"/>
        <v>149476.79999999999</v>
      </c>
      <c r="H24" s="3">
        <f t="shared" si="12"/>
        <v>159043315.19999999</v>
      </c>
      <c r="I24" s="3">
        <f t="shared" si="0"/>
        <v>18393073.758399993</v>
      </c>
      <c r="J24" s="3">
        <f t="shared" si="13"/>
        <v>-2521785.5999999992</v>
      </c>
      <c r="K24" s="3">
        <f t="shared" si="1"/>
        <v>15871288.158399994</v>
      </c>
      <c r="L24" s="4">
        <f t="shared" si="14"/>
        <v>12729885.948065044</v>
      </c>
      <c r="M24" s="33">
        <f t="shared" si="15"/>
        <v>108564675.80671349</v>
      </c>
      <c r="N24" s="4">
        <f t="shared" si="4"/>
        <v>3429007.6192520196</v>
      </c>
      <c r="O24" s="4">
        <f t="shared" si="22"/>
        <v>48187254.364385739</v>
      </c>
      <c r="P24" s="12">
        <f t="shared" si="5"/>
        <v>32.249999999999993</v>
      </c>
      <c r="Q24" s="12">
        <f t="shared" si="23"/>
        <v>64.499999999999986</v>
      </c>
      <c r="R24" s="18">
        <f t="shared" si="24"/>
        <v>0.46349395348837213</v>
      </c>
      <c r="S24" s="29">
        <f t="shared" si="17"/>
        <v>9842.105814394783</v>
      </c>
      <c r="T24" s="30">
        <f t="shared" si="7"/>
        <v>3128541.6148314173</v>
      </c>
      <c r="U24" s="18">
        <f t="shared" si="8"/>
        <v>0.53595650129653349</v>
      </c>
      <c r="V24" s="2">
        <f t="shared" si="9"/>
        <v>1.4778918800353996E-15</v>
      </c>
      <c r="W24" s="3">
        <f t="shared" si="18"/>
        <v>172845.97166813203</v>
      </c>
      <c r="X24" s="3">
        <f t="shared" si="19"/>
        <v>317.87319439867247</v>
      </c>
      <c r="Y24" s="2">
        <f t="shared" si="10"/>
        <v>0.57795126254304086</v>
      </c>
      <c r="Z24" s="3">
        <f t="shared" si="11"/>
        <v>507.30628236361895</v>
      </c>
    </row>
    <row r="25" spans="1:26" ht="14.25" customHeight="1">
      <c r="A25" s="6" t="str">
        <f>C3*12&amp;" monatsraten je (€)"</f>
        <v>180 monatsraten je (€)</v>
      </c>
      <c r="B25" s="6"/>
      <c r="C25" s="28">
        <f>C9*C16</f>
        <v>193.33333333333331</v>
      </c>
      <c r="D25" s="2">
        <v>2041</v>
      </c>
      <c r="E25" s="3">
        <f t="shared" si="25"/>
        <v>144143.99999999997</v>
      </c>
      <c r="F25" s="3">
        <f t="shared" si="3"/>
        <v>13675.199999999995</v>
      </c>
      <c r="G25" s="3">
        <f t="shared" ref="G25:G34" si="26">G24+F25</f>
        <v>163151.99999999997</v>
      </c>
      <c r="H25" s="3">
        <f t="shared" si="12"/>
        <v>182893391.99999994</v>
      </c>
      <c r="I25" s="3">
        <f t="shared" si="0"/>
        <v>20753132.55839999</v>
      </c>
      <c r="J25" s="3">
        <f t="shared" si="13"/>
        <v>-2637364.7999999989</v>
      </c>
      <c r="K25" s="3">
        <f t="shared" si="1"/>
        <v>18115767.758399993</v>
      </c>
      <c r="L25" s="4">
        <f t="shared" si="14"/>
        <v>14170803.593606945</v>
      </c>
      <c r="M25" s="33">
        <f t="shared" si="15"/>
        <v>122735479.40032044</v>
      </c>
      <c r="N25" s="4">
        <f t="shared" si="4"/>
        <v>3515837.219252028</v>
      </c>
      <c r="O25" s="4">
        <f t="shared" ref="O25:O34" si="27">N25+O24</f>
        <v>51703091.583637767</v>
      </c>
      <c r="P25" s="12">
        <f t="shared" si="5"/>
        <v>34.024999999999991</v>
      </c>
      <c r="Q25" s="12">
        <f t="shared" si="23"/>
        <v>68.049999999999983</v>
      </c>
      <c r="R25" s="18">
        <f t="shared" ref="R25:R34" si="28">G25/10000/P25</f>
        <v>0.47950624540778841</v>
      </c>
      <c r="S25" s="29">
        <f t="shared" si="17"/>
        <v>9842.1058143948412</v>
      </c>
      <c r="T25" s="30">
        <f t="shared" si="7"/>
        <v>3034685.3663864927</v>
      </c>
      <c r="U25" s="18">
        <f t="shared" si="8"/>
        <v>0.53692307856730914</v>
      </c>
      <c r="V25" s="2">
        <f t="shared" si="9"/>
        <v>2.2168378200530993E-16</v>
      </c>
      <c r="W25" s="3">
        <f t="shared" si="18"/>
        <v>182688.07748252686</v>
      </c>
      <c r="X25" s="3">
        <f t="shared" si="19"/>
        <v>308.33699856671228</v>
      </c>
      <c r="Y25" s="2">
        <f t="shared" si="10"/>
        <v>0.56061272466674961</v>
      </c>
      <c r="Z25" s="3">
        <f t="shared" si="11"/>
        <v>596.95703413138608</v>
      </c>
    </row>
    <row r="26" spans="1:26" ht="12.75" customHeight="1">
      <c r="A26" s="38" t="s">
        <v>54</v>
      </c>
      <c r="B26" s="37">
        <v>1666</v>
      </c>
      <c r="C26" s="37">
        <v>4000</v>
      </c>
      <c r="D26" s="2">
        <v>2042</v>
      </c>
      <c r="E26" s="3">
        <f t="shared" si="25"/>
        <v>152855.99999999997</v>
      </c>
      <c r="F26" s="3">
        <f t="shared" si="3"/>
        <v>14255.999999999995</v>
      </c>
      <c r="G26" s="3">
        <f t="shared" si="26"/>
        <v>177407.99999999997</v>
      </c>
      <c r="H26" s="3">
        <f t="shared" si="12"/>
        <v>208986623.99999994</v>
      </c>
      <c r="I26" s="3">
        <f t="shared" si="0"/>
        <v>23303477.683199991</v>
      </c>
      <c r="J26" s="3">
        <f t="shared" si="13"/>
        <v>-2752943.9999999986</v>
      </c>
      <c r="K26" s="3">
        <f t="shared" si="1"/>
        <v>20550533.683199991</v>
      </c>
      <c r="L26" s="4">
        <f t="shared" si="14"/>
        <v>15741099.587358575</v>
      </c>
      <c r="M26" s="33">
        <f t="shared" si="15"/>
        <v>138476578.987679</v>
      </c>
      <c r="N26" s="4">
        <f t="shared" si="4"/>
        <v>3602666.8192520295</v>
      </c>
      <c r="O26" s="4">
        <f t="shared" si="27"/>
        <v>55305758.402889796</v>
      </c>
      <c r="P26" s="12">
        <f t="shared" si="5"/>
        <v>35.79999999999999</v>
      </c>
      <c r="Q26" s="12">
        <f t="shared" si="23"/>
        <v>71.59999999999998</v>
      </c>
      <c r="R26" s="18">
        <f t="shared" si="28"/>
        <v>0.49555307262569837</v>
      </c>
      <c r="S26" s="29">
        <f t="shared" si="17"/>
        <v>9842.1058143948503</v>
      </c>
      <c r="T26" s="30">
        <f t="shared" si="7"/>
        <v>2943644.8053949005</v>
      </c>
      <c r="U26" s="18">
        <f t="shared" si="8"/>
        <v>0.5377938080919602</v>
      </c>
      <c r="V26" s="2">
        <f t="shared" si="9"/>
        <v>3.3252567300796491E-17</v>
      </c>
      <c r="W26" s="3">
        <f t="shared" si="18"/>
        <v>192530.18329692172</v>
      </c>
      <c r="X26" s="3">
        <f t="shared" si="19"/>
        <v>299.08688860971091</v>
      </c>
      <c r="Y26" s="2">
        <f t="shared" si="10"/>
        <v>0.54379434292674711</v>
      </c>
      <c r="Z26" s="3">
        <f t="shared" si="11"/>
        <v>698.13224902462593</v>
      </c>
    </row>
    <row r="27" spans="1:26" ht="14.25" customHeight="1">
      <c r="A27" s="1" t="s">
        <v>15</v>
      </c>
      <c r="B27" s="37">
        <v>3</v>
      </c>
      <c r="C27" s="37">
        <v>3</v>
      </c>
      <c r="D27" s="2">
        <v>2043</v>
      </c>
      <c r="E27" s="3">
        <f t="shared" si="25"/>
        <v>161567.99999999994</v>
      </c>
      <c r="F27" s="3">
        <f t="shared" si="3"/>
        <v>14836.799999999994</v>
      </c>
      <c r="G27" s="3">
        <f t="shared" si="26"/>
        <v>192244.79999999996</v>
      </c>
      <c r="H27" s="3">
        <f t="shared" si="12"/>
        <v>237422327.99999997</v>
      </c>
      <c r="I27" s="3">
        <f t="shared" si="0"/>
        <v>26051494.643679984</v>
      </c>
      <c r="J27" s="3">
        <f t="shared" si="13"/>
        <v>-2868523.1999999983</v>
      </c>
      <c r="K27" s="3">
        <f t="shared" si="1"/>
        <v>23182971.443679985</v>
      </c>
      <c r="L27" s="4">
        <f t="shared" si="14"/>
        <v>17445665.626291737</v>
      </c>
      <c r="M27" s="33">
        <f t="shared" si="15"/>
        <v>155922244.61397076</v>
      </c>
      <c r="N27" s="4">
        <f t="shared" si="4"/>
        <v>3689496.4192520296</v>
      </c>
      <c r="O27" s="4">
        <f t="shared" si="27"/>
        <v>58995254.822141826</v>
      </c>
      <c r="P27" s="12">
        <f t="shared" si="5"/>
        <v>37.574999999999989</v>
      </c>
      <c r="Q27" s="12">
        <f t="shared" si="23"/>
        <v>75.149999999999977</v>
      </c>
      <c r="R27" s="18">
        <f t="shared" si="28"/>
        <v>0.51162954091816371</v>
      </c>
      <c r="S27" s="29">
        <f t="shared" si="17"/>
        <v>9842.1058143948521</v>
      </c>
      <c r="T27" s="30">
        <f t="shared" si="7"/>
        <v>2855335.4612330543</v>
      </c>
      <c r="U27" s="18">
        <f t="shared" si="8"/>
        <v>0.53858227308400974</v>
      </c>
      <c r="V27" s="2">
        <f t="shared" si="9"/>
        <v>4.9878850951194735E-18</v>
      </c>
      <c r="W27" s="3">
        <f t="shared" si="18"/>
        <v>202372.28911131658</v>
      </c>
      <c r="X27" s="3">
        <f t="shared" si="19"/>
        <v>290.11428195141957</v>
      </c>
      <c r="Y27" s="2">
        <f t="shared" si="10"/>
        <v>0.52748051263894469</v>
      </c>
      <c r="Z27" s="3">
        <f t="shared" si="11"/>
        <v>811.91761032760064</v>
      </c>
    </row>
    <row r="28" spans="1:26" ht="13.5" customHeight="1">
      <c r="A28" s="1" t="s">
        <v>33</v>
      </c>
      <c r="B28" s="37">
        <v>22</v>
      </c>
      <c r="C28" s="37">
        <v>22</v>
      </c>
      <c r="D28" s="2">
        <v>2044</v>
      </c>
      <c r="E28" s="3">
        <f t="shared" si="25"/>
        <v>170279.99999999997</v>
      </c>
      <c r="F28" s="3">
        <f t="shared" si="3"/>
        <v>15417.599999999993</v>
      </c>
      <c r="G28" s="3">
        <f t="shared" si="26"/>
        <v>207662.39999999997</v>
      </c>
      <c r="H28" s="3">
        <f t="shared" si="12"/>
        <v>268299820.79999995</v>
      </c>
      <c r="I28" s="3">
        <f t="shared" si="0"/>
        <v>29004568.95071999</v>
      </c>
      <c r="J28" s="3">
        <f t="shared" si="13"/>
        <v>-2984102.399999998</v>
      </c>
      <c r="K28" s="3">
        <f t="shared" si="1"/>
        <v>26020466.550719991</v>
      </c>
      <c r="L28" s="4">
        <f t="shared" si="14"/>
        <v>19289395.105237756</v>
      </c>
      <c r="M28" s="33">
        <f t="shared" si="15"/>
        <v>175211639.71920851</v>
      </c>
      <c r="N28" s="4">
        <f t="shared" si="4"/>
        <v>3776326.0192520292</v>
      </c>
      <c r="O28" s="4">
        <f t="shared" si="27"/>
        <v>62771580.841393858</v>
      </c>
      <c r="P28" s="12">
        <f t="shared" si="5"/>
        <v>39.349999999999987</v>
      </c>
      <c r="Q28" s="12">
        <f t="shared" si="23"/>
        <v>78.699999999999974</v>
      </c>
      <c r="R28" s="18">
        <f t="shared" si="28"/>
        <v>0.52773163913595944</v>
      </c>
      <c r="S28" s="29">
        <f t="shared" si="17"/>
        <v>9842.1058143948521</v>
      </c>
      <c r="T28" s="30">
        <f t="shared" si="7"/>
        <v>2769675.3973960625</v>
      </c>
      <c r="U28" s="18">
        <f t="shared" si="8"/>
        <v>0.53929960591032144</v>
      </c>
      <c r="V28" s="2">
        <f t="shared" si="9"/>
        <v>7.4818276426792096E-19</v>
      </c>
      <c r="W28" s="3">
        <f t="shared" si="18"/>
        <v>212214.39492571144</v>
      </c>
      <c r="X28" s="3">
        <f t="shared" si="19"/>
        <v>281.41085349287698</v>
      </c>
      <c r="Y28" s="2">
        <f t="shared" si="10"/>
        <v>0.51165609725977634</v>
      </c>
      <c r="Z28" s="3">
        <f t="shared" si="11"/>
        <v>939.47711616976437</v>
      </c>
    </row>
    <row r="29" spans="1:26">
      <c r="A29" s="2" t="s">
        <v>31</v>
      </c>
      <c r="B29" s="5">
        <v>2</v>
      </c>
      <c r="D29" s="2">
        <v>2045</v>
      </c>
      <c r="E29" s="3">
        <f t="shared" si="25"/>
        <v>178991.99999999994</v>
      </c>
      <c r="F29" s="3">
        <f t="shared" si="3"/>
        <v>15998.399999999992</v>
      </c>
      <c r="G29" s="3">
        <f t="shared" si="26"/>
        <v>223660.79999999996</v>
      </c>
      <c r="H29" s="3">
        <f t="shared" si="12"/>
        <v>301718419.19999993</v>
      </c>
      <c r="I29" s="3">
        <f t="shared" si="0"/>
        <v>32170086.115199987</v>
      </c>
      <c r="J29" s="3">
        <f t="shared" si="13"/>
        <v>-3099681.5999999978</v>
      </c>
      <c r="K29" s="3">
        <f t="shared" si="1"/>
        <v>29070404.515199989</v>
      </c>
      <c r="L29" s="4">
        <f t="shared" si="14"/>
        <v>21277183.06595169</v>
      </c>
      <c r="M29" s="33">
        <f t="shared" si="15"/>
        <v>196488822.78516018</v>
      </c>
      <c r="N29" s="4">
        <f t="shared" si="4"/>
        <v>3863155.6192520293</v>
      </c>
      <c r="O29" s="4">
        <f t="shared" si="27"/>
        <v>66634736.460645884</v>
      </c>
      <c r="P29" s="12">
        <f t="shared" si="5"/>
        <v>41.124999999999986</v>
      </c>
      <c r="Q29" s="12">
        <f t="shared" si="23"/>
        <v>82.249999999999972</v>
      </c>
      <c r="R29" s="18">
        <f t="shared" si="28"/>
        <v>0.54385604863221892</v>
      </c>
      <c r="S29" s="29">
        <f t="shared" si="17"/>
        <v>9842.1058143948521</v>
      </c>
      <c r="T29" s="30">
        <f t="shared" si="7"/>
        <v>2686585.1354741803</v>
      </c>
      <c r="U29" s="18">
        <f t="shared" si="8"/>
        <v>0.53995501699721915</v>
      </c>
      <c r="V29" s="2">
        <f t="shared" si="9"/>
        <v>1.1222741464018813E-19</v>
      </c>
      <c r="W29" s="3">
        <f t="shared" si="18"/>
        <v>222056.5007401063</v>
      </c>
      <c r="X29" s="3">
        <f t="shared" si="19"/>
        <v>272.96852788809065</v>
      </c>
      <c r="Y29" s="2">
        <f t="shared" si="10"/>
        <v>0.49630641434198303</v>
      </c>
      <c r="Z29" s="3">
        <f t="shared" si="11"/>
        <v>1082.0578187286471</v>
      </c>
    </row>
    <row r="30" spans="1:26">
      <c r="A30" s="2" t="s">
        <v>5</v>
      </c>
      <c r="B30" s="5">
        <v>29</v>
      </c>
      <c r="C30" s="37">
        <v>12000</v>
      </c>
      <c r="D30" s="2">
        <v>2046</v>
      </c>
      <c r="E30" s="3">
        <f t="shared" si="25"/>
        <v>187703.99999999994</v>
      </c>
      <c r="F30" s="3">
        <f t="shared" si="3"/>
        <v>16579.199999999993</v>
      </c>
      <c r="G30" s="3">
        <f t="shared" si="26"/>
        <v>240239.99999999994</v>
      </c>
      <c r="H30" s="3">
        <f t="shared" si="12"/>
        <v>337777439.99999994</v>
      </c>
      <c r="I30" s="3">
        <f t="shared" si="0"/>
        <v>35555431.647999972</v>
      </c>
      <c r="J30" s="3">
        <f t="shared" si="13"/>
        <v>-3215260.799999998</v>
      </c>
      <c r="K30" s="3">
        <f t="shared" si="1"/>
        <v>32340170.847999975</v>
      </c>
      <c r="L30" s="4">
        <f t="shared" si="14"/>
        <v>23413926.147704653</v>
      </c>
      <c r="M30" s="33">
        <f t="shared" si="15"/>
        <v>219902748.93286484</v>
      </c>
      <c r="N30" s="4">
        <f t="shared" si="4"/>
        <v>3949985.219252029</v>
      </c>
      <c r="O30" s="4">
        <f t="shared" si="27"/>
        <v>70584721.679897919</v>
      </c>
      <c r="P30" s="12">
        <f t="shared" si="5"/>
        <v>42.899999999999984</v>
      </c>
      <c r="Q30" s="12">
        <f t="shared" si="23"/>
        <v>85.799999999999969</v>
      </c>
      <c r="R30" s="18">
        <f t="shared" si="28"/>
        <v>0.56000000000000005</v>
      </c>
      <c r="S30" s="29">
        <f t="shared" si="17"/>
        <v>9842.1058143948521</v>
      </c>
      <c r="T30" s="30">
        <f t="shared" si="7"/>
        <v>2605987.5814099549</v>
      </c>
      <c r="U30" s="18">
        <f t="shared" si="8"/>
        <v>0.54055619243473485</v>
      </c>
      <c r="V30" s="2">
        <f t="shared" si="9"/>
        <v>1.683411219602822E-20</v>
      </c>
      <c r="W30" s="3">
        <f t="shared" si="18"/>
        <v>231898.60655450117</v>
      </c>
      <c r="X30" s="3">
        <f t="shared" si="19"/>
        <v>264.77947205144795</v>
      </c>
      <c r="Y30" s="2">
        <f t="shared" si="10"/>
        <v>0.48141722191172354</v>
      </c>
      <c r="Z30" s="3">
        <f t="shared" si="11"/>
        <v>1240.9948181910563</v>
      </c>
    </row>
    <row r="31" spans="1:26">
      <c r="A31" s="2" t="s">
        <v>13</v>
      </c>
      <c r="B31" s="9">
        <v>3333</v>
      </c>
      <c r="C31" s="37">
        <v>1</v>
      </c>
      <c r="D31" s="2">
        <v>2047</v>
      </c>
      <c r="E31" s="3">
        <f t="shared" si="25"/>
        <v>196415.99999999994</v>
      </c>
      <c r="F31" s="3">
        <f t="shared" si="3"/>
        <v>17159.999999999993</v>
      </c>
      <c r="G31" s="3">
        <f t="shared" si="26"/>
        <v>257399.99999999994</v>
      </c>
      <c r="H31" s="3">
        <f t="shared" si="12"/>
        <v>376576199.99999994</v>
      </c>
      <c r="I31" s="3">
        <f t="shared" si="0"/>
        <v>39167991.05999998</v>
      </c>
      <c r="J31" s="3">
        <f t="shared" si="13"/>
        <v>-3330839.9999999977</v>
      </c>
      <c r="K31" s="3">
        <f t="shared" si="1"/>
        <v>35837151.05999998</v>
      </c>
      <c r="L31" s="4">
        <f t="shared" si="14"/>
        <v>25704522.539358318</v>
      </c>
      <c r="M31" s="33">
        <f t="shared" si="15"/>
        <v>245607271.47222316</v>
      </c>
      <c r="N31" s="4">
        <f t="shared" si="4"/>
        <v>4036814.8192520295</v>
      </c>
      <c r="O31" s="4">
        <f t="shared" si="27"/>
        <v>74621536.499149948</v>
      </c>
      <c r="P31" s="12">
        <f t="shared" si="5"/>
        <v>44.674999999999983</v>
      </c>
      <c r="Q31" s="12">
        <f t="shared" si="23"/>
        <v>89.349999999999966</v>
      </c>
      <c r="R31" s="18">
        <f t="shared" si="28"/>
        <v>0.5761611639619475</v>
      </c>
      <c r="S31" s="29">
        <f t="shared" si="17"/>
        <v>9842.1058143948521</v>
      </c>
      <c r="T31" s="30">
        <f t="shared" si="7"/>
        <v>2527807.9539676565</v>
      </c>
      <c r="U31" s="18">
        <f t="shared" si="8"/>
        <v>0.54110959679663373</v>
      </c>
      <c r="V31" s="2">
        <f t="shared" si="9"/>
        <v>2.525116829404233E-21</v>
      </c>
      <c r="W31" s="3">
        <f t="shared" si="18"/>
        <v>241740.71236889603</v>
      </c>
      <c r="X31" s="3">
        <f t="shared" si="19"/>
        <v>256.83608788990449</v>
      </c>
      <c r="Y31" s="2">
        <f t="shared" si="10"/>
        <v>0.46697470525437179</v>
      </c>
      <c r="Z31" s="3">
        <f t="shared" si="11"/>
        <v>1417.7165240638578</v>
      </c>
    </row>
    <row r="32" spans="1:26">
      <c r="A32" s="2" t="s">
        <v>14</v>
      </c>
      <c r="B32" s="9">
        <v>13333</v>
      </c>
      <c r="C32" s="37">
        <v>22</v>
      </c>
      <c r="D32" s="2">
        <v>2048</v>
      </c>
      <c r="E32" s="3">
        <f t="shared" si="25"/>
        <v>205127.99999999994</v>
      </c>
      <c r="F32" s="3">
        <f t="shared" si="3"/>
        <v>17740.799999999992</v>
      </c>
      <c r="G32" s="3">
        <f t="shared" si="26"/>
        <v>275140.79999999993</v>
      </c>
      <c r="H32" s="3">
        <f t="shared" si="12"/>
        <v>418214015.99999982</v>
      </c>
      <c r="I32" s="3">
        <f t="shared" si="0"/>
        <v>43015149.862079978</v>
      </c>
      <c r="J32" s="3">
        <f t="shared" si="13"/>
        <v>-3446419.1999999974</v>
      </c>
      <c r="K32" s="3">
        <f t="shared" si="1"/>
        <v>39568730.662079982</v>
      </c>
      <c r="L32" s="4">
        <f t="shared" si="14"/>
        <v>28153871.932877168</v>
      </c>
      <c r="M32" s="33">
        <f t="shared" si="15"/>
        <v>273761143.40510035</v>
      </c>
      <c r="N32" s="4">
        <f t="shared" si="4"/>
        <v>4123644.4192520292</v>
      </c>
      <c r="O32" s="4">
        <f t="shared" si="27"/>
        <v>78745180.918401971</v>
      </c>
      <c r="P32" s="12">
        <f t="shared" si="5"/>
        <v>46.449999999999982</v>
      </c>
      <c r="Q32" s="12">
        <f t="shared" si="23"/>
        <v>92.899999999999963</v>
      </c>
      <c r="R32" s="18">
        <f t="shared" si="28"/>
        <v>0.59233756727664166</v>
      </c>
      <c r="S32" s="29">
        <f t="shared" si="17"/>
        <v>9842.1058143948521</v>
      </c>
      <c r="T32" s="30">
        <f t="shared" si="7"/>
        <v>2451973.715348626</v>
      </c>
      <c r="U32" s="18">
        <f t="shared" si="8"/>
        <v>0.5416207065302282</v>
      </c>
      <c r="V32" s="2">
        <f t="shared" si="9"/>
        <v>3.7876752441063496E-22</v>
      </c>
      <c r="W32" s="3">
        <f t="shared" si="18"/>
        <v>251582.81818329089</v>
      </c>
      <c r="X32" s="3">
        <f t="shared" si="19"/>
        <v>249.13100525320732</v>
      </c>
      <c r="Y32" s="2">
        <f t="shared" si="10"/>
        <v>0.4529654640967406</v>
      </c>
      <c r="Z32" s="3">
        <f t="shared" si="11"/>
        <v>1613.7501970103308</v>
      </c>
    </row>
    <row r="33" spans="1:26" ht="14.25" customHeight="1">
      <c r="A33" s="40" t="s">
        <v>52</v>
      </c>
      <c r="B33" s="40"/>
      <c r="C33" s="40"/>
      <c r="D33" s="2">
        <v>2049</v>
      </c>
      <c r="E33" s="3">
        <f t="shared" si="25"/>
        <v>213839.99999999988</v>
      </c>
      <c r="F33" s="3">
        <f t="shared" si="3"/>
        <v>18321.599999999991</v>
      </c>
      <c r="G33" s="3">
        <f t="shared" si="26"/>
        <v>293462.39999999991</v>
      </c>
      <c r="H33" s="3">
        <f t="shared" si="12"/>
        <v>462790204.79999983</v>
      </c>
      <c r="I33" s="3">
        <f t="shared" si="0"/>
        <v>47104293.565119967</v>
      </c>
      <c r="J33" s="3">
        <f t="shared" si="13"/>
        <v>-3561998.3999999971</v>
      </c>
      <c r="K33" s="3">
        <f t="shared" si="1"/>
        <v>43542295.165119968</v>
      </c>
      <c r="L33" s="4">
        <f t="shared" si="14"/>
        <v>30766875.47823545</v>
      </c>
      <c r="M33" s="33">
        <f t="shared" si="15"/>
        <v>304528018.88333577</v>
      </c>
      <c r="N33" s="4">
        <f t="shared" si="4"/>
        <v>4210474.0192520292</v>
      </c>
      <c r="O33" s="4">
        <f t="shared" si="27"/>
        <v>82955654.937654004</v>
      </c>
      <c r="P33" s="12">
        <f t="shared" si="5"/>
        <v>48.22499999999998</v>
      </c>
      <c r="Q33" s="12">
        <f t="shared" si="23"/>
        <v>96.44999999999996</v>
      </c>
      <c r="R33" s="18">
        <f t="shared" si="28"/>
        <v>0.6085275272161742</v>
      </c>
      <c r="S33" s="29">
        <f t="shared" si="17"/>
        <v>9842.1058143948521</v>
      </c>
      <c r="T33" s="30">
        <f t="shared" si="7"/>
        <v>2378414.5038881674</v>
      </c>
      <c r="U33" s="18">
        <f t="shared" si="8"/>
        <v>0.54209419180442897</v>
      </c>
      <c r="V33" s="2">
        <f t="shared" si="9"/>
        <v>5.6815128661595243E-23</v>
      </c>
      <c r="W33" s="3">
        <f t="shared" si="18"/>
        <v>261424.92399768575</v>
      </c>
      <c r="X33" s="3">
        <f t="shared" si="19"/>
        <v>241.65707509561111</v>
      </c>
      <c r="Y33" s="2">
        <f t="shared" si="10"/>
        <v>0.43937650017383839</v>
      </c>
      <c r="Z33" s="3">
        <f t="shared" si="11"/>
        <v>1830.7277849987127</v>
      </c>
    </row>
    <row r="34" spans="1:26">
      <c r="A34" s="40"/>
      <c r="B34" s="40"/>
      <c r="C34" s="40"/>
      <c r="D34" s="2">
        <v>2050</v>
      </c>
      <c r="E34" s="3">
        <f>G34-IF($C$3=5,G29,IF($C$3=6,G28,IF($C$3=7,G27,IF($C$3=8,G26,IF($C$3=9,G25,IF($C$3=10,G24,IF($C$3=11,G23,IF($C$3=12,G22,IF($C$3=13,G21,IF($C$3=14,G20,IF($C$3=15,G19,0)))))))))))</f>
        <v>222551.99999999988</v>
      </c>
      <c r="F34" s="3">
        <f t="shared" si="3"/>
        <v>18902.399999999991</v>
      </c>
      <c r="G34" s="3">
        <f t="shared" si="26"/>
        <v>312364.79999999987</v>
      </c>
      <c r="H34" s="3">
        <f t="shared" si="12"/>
        <v>510404083.19999981</v>
      </c>
      <c r="I34" s="3">
        <f t="shared" si="0"/>
        <v>51442807.679999962</v>
      </c>
      <c r="J34" s="3">
        <f t="shared" si="13"/>
        <v>-3677577.5999999968</v>
      </c>
      <c r="K34" s="3">
        <f t="shared" si="1"/>
        <v>47765230.079999968</v>
      </c>
      <c r="L34" s="4">
        <f t="shared" si="14"/>
        <v>33548435.7396769</v>
      </c>
      <c r="M34" s="33">
        <f t="shared" si="15"/>
        <v>338076454.62301266</v>
      </c>
      <c r="N34" s="4">
        <f t="shared" si="4"/>
        <v>4297303.6192520289</v>
      </c>
      <c r="O34" s="4">
        <f t="shared" si="27"/>
        <v>87252958.55690603</v>
      </c>
      <c r="P34" s="12">
        <f t="shared" si="5"/>
        <v>49.999999999999979</v>
      </c>
      <c r="Q34" s="12">
        <f t="shared" si="23"/>
        <v>99.999999999999957</v>
      </c>
      <c r="R34" s="18">
        <f t="shared" si="28"/>
        <v>0.6247296</v>
      </c>
      <c r="S34" s="29">
        <f t="shared" si="17"/>
        <v>9842.1058143948521</v>
      </c>
      <c r="T34" s="30">
        <f t="shared" si="7"/>
        <v>2307062.0687715225</v>
      </c>
      <c r="U34" s="18">
        <f t="shared" si="8"/>
        <v>0.54253405962416146</v>
      </c>
      <c r="V34" s="2">
        <f t="shared" si="9"/>
        <v>8.5222692992392865E-24</v>
      </c>
      <c r="W34" s="3">
        <f t="shared" si="18"/>
        <v>271267.02981208061</v>
      </c>
      <c r="X34" s="3">
        <f t="shared" si="19"/>
        <v>234.4073628427428</v>
      </c>
      <c r="Y34" s="2">
        <f t="shared" si="10"/>
        <v>0.42619520516862325</v>
      </c>
      <c r="Z34" s="3">
        <f t="shared" si="11"/>
        <v>2070.39206818715</v>
      </c>
    </row>
    <row r="35" spans="1:26">
      <c r="A35" s="17" t="s">
        <v>18</v>
      </c>
    </row>
    <row r="36" spans="1:26" ht="15" customHeight="1"/>
  </sheetData>
  <sheetProtection selectLockedCells="1"/>
  <mergeCells count="22">
    <mergeCell ref="W4:W5"/>
    <mergeCell ref="I1:I5"/>
    <mergeCell ref="J1:J5"/>
    <mergeCell ref="K1:K5"/>
    <mergeCell ref="L1:L5"/>
    <mergeCell ref="Q2:Q5"/>
    <mergeCell ref="A33:C34"/>
    <mergeCell ref="R1:R5"/>
    <mergeCell ref="Z1:Z5"/>
    <mergeCell ref="U1:U5"/>
    <mergeCell ref="X3:X5"/>
    <mergeCell ref="S1:S3"/>
    <mergeCell ref="T1:T3"/>
    <mergeCell ref="P1:P4"/>
    <mergeCell ref="A1:A2"/>
    <mergeCell ref="A17:B17"/>
    <mergeCell ref="E1:E5"/>
    <mergeCell ref="F1:F5"/>
    <mergeCell ref="G1:G5"/>
    <mergeCell ref="H1:H5"/>
    <mergeCell ref="M3:M5"/>
    <mergeCell ref="W1:W2"/>
  </mergeCells>
  <hyperlinks>
    <hyperlink ref="A18" r:id="rId1" display="garage zieht geschätzt (kW)"/>
  </hyperlinks>
  <pageMargins left="0.7" right="0.7" top="0.78740157499999996" bottom="0.78740157499999996" header="0.3" footer="0.3"/>
  <pageSetup paperSize="9" orientation="portrait" r:id="rId2"/>
  <ignoredErrors>
    <ignoredError sqref="C13 N6" formula="1"/>
    <ignoredError sqref="C24 C22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astrzduf wert</dc:creator>
  <cp:lastModifiedBy>Markus Ulrich</cp:lastModifiedBy>
  <dcterms:created xsi:type="dcterms:W3CDTF">2021-06-20T13:50:57Z</dcterms:created>
  <dcterms:modified xsi:type="dcterms:W3CDTF">2022-02-05T23:04:48Z</dcterms:modified>
</cp:coreProperties>
</file>